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330" tabRatio="897" activeTab="1"/>
  </bookViews>
  <sheets>
    <sheet name="PROPOSTA" sheetId="18" r:id="rId1"/>
    <sheet name="Total" sheetId="17" r:id="rId2"/>
    <sheet name="serv" sheetId="1" r:id="rId3"/>
    <sheet name="jard" sheetId="2" r:id="rId4"/>
    <sheet name="auxjard" sheetId="3" r:id="rId5"/>
    <sheet name="superv" sheetId="4" r:id="rId6"/>
    <sheet name="cabturm" sheetId="5" r:id="rId7"/>
    <sheet name="servextra" sheetId="6" r:id="rId8"/>
    <sheet name="heserv_agoset" sheetId="7" r:id="rId9"/>
    <sheet name="hesuperv_agoset" sheetId="8" r:id="rId10"/>
    <sheet name="hecabturm_agoset" sheetId="9" r:id="rId11"/>
    <sheet name="heserv_out" sheetId="10" r:id="rId12"/>
    <sheet name="hesuperv_out" sheetId="11" r:id="rId13"/>
    <sheet name="hecabturm_out" sheetId="12" r:id="rId14"/>
    <sheet name="matservente1" sheetId="13" r:id="rId15"/>
    <sheet name="matjard1" sheetId="14" r:id="rId16"/>
    <sheet name="matservente2" sheetId="15" r:id="rId17"/>
    <sheet name="matjard2" sheetId="16" r:id="rId18"/>
    <sheet name="unif e EPI" sheetId="19" r:id="rId19"/>
    <sheet name="equip serv" sheetId="20" r:id="rId20"/>
    <sheet name="equip jard" sheetId="21" r:id="rId21"/>
  </sheets>
  <definedNames>
    <definedName name="_xlnm.Print_Area" localSheetId="4">auxjard!$A$1:$D$157</definedName>
    <definedName name="_xlnm.Print_Area" localSheetId="6">cabturm!$A$1:$D$157</definedName>
    <definedName name="_xlnm.Print_Area" localSheetId="20">'equip jard'!$A$1:$G$26</definedName>
    <definedName name="_xlnm.Print_Area" localSheetId="19">'equip serv'!$A$1:$G$11</definedName>
    <definedName name="_xlnm.Print_Area" localSheetId="10">hecabturm_agoset!$A$1:$E$30</definedName>
    <definedName name="_xlnm.Print_Area" localSheetId="13">hecabturm_out!$A$1:$E$30</definedName>
    <definedName name="_xlnm.Print_Area" localSheetId="8">heserv_agoset!$A$1:$E$30</definedName>
    <definedName name="_xlnm.Print_Area" localSheetId="11">heserv_out!$A$1:$E$30</definedName>
    <definedName name="_xlnm.Print_Area" localSheetId="9">hesuperv_agoset!$A$1:$E$30</definedName>
    <definedName name="_xlnm.Print_Area" localSheetId="12">hesuperv_out!$A$1:$E$30</definedName>
    <definedName name="_xlnm.Print_Area" localSheetId="3">jard!$A$1:$D$157</definedName>
    <definedName name="_xlnm.Print_Area" localSheetId="15">matjard1!$A$1:$F$14</definedName>
    <definedName name="_xlnm.Print_Area" localSheetId="17">matjard2!$A$1:$F$14</definedName>
    <definedName name="_xlnm.Print_Area" localSheetId="14">matservente1!$A$1:$F$51</definedName>
    <definedName name="_xlnm.Print_Area" localSheetId="16">matservente2!$A$1:$F$51</definedName>
    <definedName name="_xlnm.Print_Area" localSheetId="0">PROPOSTA!$A$1:$G$61</definedName>
    <definedName name="_xlnm.Print_Area" localSheetId="2">serv!$A$1:$D$157</definedName>
    <definedName name="_xlnm.Print_Area" localSheetId="7">servextra!$A$1:$D$157</definedName>
    <definedName name="_xlnm.Print_Area" localSheetId="5">superv!$A$1:$D$157</definedName>
    <definedName name="_xlnm.Print_Area" localSheetId="1">Total!$A$1:$G$65</definedName>
    <definedName name="_xlnm.Print_Area" localSheetId="18">'unif e EPI'!$A$1:$F$22</definedName>
    <definedName name="Print_Area_0" localSheetId="20">'equip jard'!$A$1:$G$25</definedName>
    <definedName name="Print_Area_0" localSheetId="19">'equip serv'!$A$1:$G$10</definedName>
    <definedName name="Print_Area_0" localSheetId="15">matjard1!$A$1:$F$10</definedName>
    <definedName name="Print_Area_0" localSheetId="17">matjard2!$A$1:$F$10</definedName>
    <definedName name="Print_Area_0" localSheetId="14">matservente1!$A$1:$F$47</definedName>
    <definedName name="Print_Area_0" localSheetId="16">matservente2!$A$1:$F$47</definedName>
    <definedName name="Print_Area_0" localSheetId="18">'unif e EPI'!$A$1:$F$8</definedName>
    <definedName name="Print_Area_0_0" localSheetId="20">'equip jard'!$A$1:$G$25</definedName>
    <definedName name="Print_Area_0_0" localSheetId="19">'equip serv'!$A$1:$G$10</definedName>
    <definedName name="Print_Area_0_0" localSheetId="15">matjard1!$A$1:$F$10</definedName>
    <definedName name="Print_Area_0_0" localSheetId="17">matjard2!$A$1:$F$10</definedName>
    <definedName name="Print_Area_0_0" localSheetId="14">matservente1!$A$1:$F$47</definedName>
    <definedName name="Print_Area_0_0" localSheetId="16">matservente2!$A$1:$F$47</definedName>
    <definedName name="Print_Area_0_0" localSheetId="18">'unif e EPI'!$A$1:$F$8</definedName>
    <definedName name="_xlnm.Print_Titles" localSheetId="10">hecabturm_agoset!$1:$1</definedName>
    <definedName name="_xlnm.Print_Titles" localSheetId="13">hecabturm_out!$1:$1</definedName>
    <definedName name="_xlnm.Print_Titles" localSheetId="8">heserv_agoset!$1:$1</definedName>
    <definedName name="_xlnm.Print_Titles" localSheetId="11">heserv_out!$1:$1</definedName>
    <definedName name="_xlnm.Print_Titles" localSheetId="9">hesuperv_agoset!$1:$1</definedName>
    <definedName name="_xlnm.Print_Titles" localSheetId="12">hesuperv_out!$1:$1</definedName>
    <definedName name="_xlnm.Print_Titles" localSheetId="15">matjard1!$1:$2</definedName>
    <definedName name="_xlnm.Print_Titles" localSheetId="14">matservente1!$1:$2</definedName>
    <definedName name="_xlnm.Print_Titles" localSheetId="16">matservente2!$1:$2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1" i="2" l="1"/>
  <c r="C51" i="3"/>
  <c r="C51" i="4"/>
  <c r="C51" i="5"/>
  <c r="C51" i="1"/>
  <c r="E13" i="16"/>
  <c r="E50" i="15"/>
  <c r="E13" i="14"/>
  <c r="E50" i="13"/>
  <c r="D24" i="7" l="1"/>
  <c r="G4" i="20" l="1"/>
  <c r="G5" i="20"/>
  <c r="G6" i="20"/>
  <c r="G7" i="20"/>
  <c r="G8" i="20"/>
  <c r="G9" i="20"/>
  <c r="G3" i="20"/>
  <c r="G4" i="21" l="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3" i="21"/>
  <c r="F16" i="19"/>
  <c r="F17" i="19"/>
  <c r="F18" i="19"/>
  <c r="G25" i="21" l="1"/>
  <c r="G26" i="21" s="1"/>
  <c r="D127" i="2" s="1"/>
  <c r="F20" i="19" l="1"/>
  <c r="F19" i="19"/>
  <c r="F15" i="19"/>
  <c r="F14" i="19"/>
  <c r="F13" i="19"/>
  <c r="F21" i="19" l="1"/>
  <c r="F22" i="19" s="1"/>
  <c r="G10" i="20"/>
  <c r="G11" i="20" s="1"/>
  <c r="D127" i="1" s="1"/>
  <c r="F7" i="19"/>
  <c r="F6" i="19"/>
  <c r="F5" i="19"/>
  <c r="F4" i="19"/>
  <c r="F3" i="19"/>
  <c r="D127" i="3" l="1"/>
  <c r="D128" i="3"/>
  <c r="D128" i="1"/>
  <c r="D128" i="2"/>
  <c r="F8" i="19"/>
  <c r="F9" i="19" s="1"/>
  <c r="D125" i="5" l="1"/>
  <c r="D125" i="1"/>
  <c r="D125" i="3"/>
  <c r="D125" i="2"/>
  <c r="D125" i="4"/>
  <c r="C51" i="6"/>
  <c r="F15" i="15" l="1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D129" i="3" l="1"/>
  <c r="D129" i="6"/>
  <c r="D129" i="1"/>
  <c r="F9" i="14"/>
  <c r="F3" i="14"/>
  <c r="F4" i="14"/>
  <c r="F5" i="14"/>
  <c r="F6" i="14"/>
  <c r="F7" i="14"/>
  <c r="F8" i="14"/>
  <c r="F10" i="14" l="1"/>
  <c r="E25" i="17"/>
  <c r="B24" i="17"/>
  <c r="E19" i="17"/>
  <c r="B18" i="17"/>
  <c r="B17" i="17"/>
  <c r="B16" i="17"/>
  <c r="B15" i="17"/>
  <c r="B14" i="17"/>
  <c r="F9" i="17"/>
  <c r="F9" i="16"/>
  <c r="F8" i="16"/>
  <c r="F7" i="16"/>
  <c r="F6" i="16"/>
  <c r="F5" i="16"/>
  <c r="F4" i="16"/>
  <c r="F3" i="16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4" i="15"/>
  <c r="F13" i="15"/>
  <c r="F12" i="15"/>
  <c r="F11" i="15"/>
  <c r="F10" i="15"/>
  <c r="F9" i="15"/>
  <c r="F8" i="15"/>
  <c r="F7" i="15"/>
  <c r="F6" i="15"/>
  <c r="F5" i="15"/>
  <c r="F4" i="15"/>
  <c r="F3" i="15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E24" i="12"/>
  <c r="E23" i="12"/>
  <c r="D23" i="12"/>
  <c r="D24" i="12" s="1"/>
  <c r="D7" i="12"/>
  <c r="C26" i="12" s="1"/>
  <c r="D6" i="12"/>
  <c r="C25" i="12" s="1"/>
  <c r="E23" i="11"/>
  <c r="E24" i="11" s="1"/>
  <c r="D23" i="11"/>
  <c r="D24" i="11" s="1"/>
  <c r="D7" i="11"/>
  <c r="C26" i="11" s="1"/>
  <c r="D6" i="11"/>
  <c r="C25" i="11" s="1"/>
  <c r="E23" i="10"/>
  <c r="E24" i="10" s="1"/>
  <c r="D23" i="10"/>
  <c r="D24" i="10" s="1"/>
  <c r="D7" i="10"/>
  <c r="C26" i="10" s="1"/>
  <c r="D6" i="10"/>
  <c r="C25" i="10" s="1"/>
  <c r="E24" i="9"/>
  <c r="E23" i="9"/>
  <c r="D23" i="9"/>
  <c r="D24" i="9" s="1"/>
  <c r="D7" i="9"/>
  <c r="C26" i="9" s="1"/>
  <c r="D6" i="9"/>
  <c r="C25" i="9" s="1"/>
  <c r="E23" i="8"/>
  <c r="E24" i="8" s="1"/>
  <c r="D23" i="8"/>
  <c r="D24" i="8" s="1"/>
  <c r="D7" i="8"/>
  <c r="C26" i="8" s="1"/>
  <c r="D6" i="8"/>
  <c r="C25" i="8" s="1"/>
  <c r="E23" i="7"/>
  <c r="E24" i="7" s="1"/>
  <c r="D23" i="7"/>
  <c r="D7" i="7"/>
  <c r="C26" i="7" s="1"/>
  <c r="D6" i="7"/>
  <c r="C25" i="7" s="1"/>
  <c r="C137" i="6"/>
  <c r="C144" i="6" s="1"/>
  <c r="D154" i="6"/>
  <c r="C102" i="6"/>
  <c r="C101" i="6"/>
  <c r="C100" i="6"/>
  <c r="C99" i="6"/>
  <c r="C98" i="6"/>
  <c r="C86" i="6"/>
  <c r="C83" i="6"/>
  <c r="D64" i="6"/>
  <c r="D63" i="6"/>
  <c r="D68" i="6" s="1"/>
  <c r="D76" i="6" s="1"/>
  <c r="C57" i="6"/>
  <c r="C87" i="6" s="1"/>
  <c r="C42" i="6"/>
  <c r="C41" i="6"/>
  <c r="D33" i="6"/>
  <c r="D86" i="6" s="1"/>
  <c r="C137" i="5"/>
  <c r="D129" i="5"/>
  <c r="D154" i="5" s="1"/>
  <c r="C102" i="5"/>
  <c r="C101" i="5"/>
  <c r="C100" i="5"/>
  <c r="C99" i="5"/>
  <c r="C98" i="5"/>
  <c r="C86" i="5"/>
  <c r="C83" i="5"/>
  <c r="D64" i="5"/>
  <c r="D63" i="5"/>
  <c r="D68" i="5" s="1"/>
  <c r="D76" i="5" s="1"/>
  <c r="C57" i="5"/>
  <c r="D5" i="12" s="1"/>
  <c r="C42" i="5"/>
  <c r="C41" i="5"/>
  <c r="C43" i="5" s="1"/>
  <c r="D33" i="5"/>
  <c r="D150" i="5" s="1"/>
  <c r="C137" i="4"/>
  <c r="D129" i="4"/>
  <c r="D154" i="4" s="1"/>
  <c r="C102" i="4"/>
  <c r="C101" i="4"/>
  <c r="C100" i="4"/>
  <c r="C99" i="4"/>
  <c r="C98" i="4"/>
  <c r="C86" i="4"/>
  <c r="C83" i="4"/>
  <c r="D64" i="4"/>
  <c r="D63" i="4"/>
  <c r="C57" i="4"/>
  <c r="C87" i="4" s="1"/>
  <c r="C42" i="4"/>
  <c r="C41" i="4"/>
  <c r="D33" i="4"/>
  <c r="D88" i="4" s="1"/>
  <c r="C137" i="3"/>
  <c r="C144" i="3" s="1"/>
  <c r="D154" i="3"/>
  <c r="C102" i="3"/>
  <c r="C101" i="3"/>
  <c r="C100" i="3"/>
  <c r="C99" i="3"/>
  <c r="C98" i="3"/>
  <c r="C86" i="3"/>
  <c r="C83" i="3"/>
  <c r="D64" i="3"/>
  <c r="D63" i="3"/>
  <c r="C57" i="3"/>
  <c r="C87" i="3" s="1"/>
  <c r="C42" i="3"/>
  <c r="C41" i="3"/>
  <c r="D33" i="3"/>
  <c r="D41" i="3" s="1"/>
  <c r="C137" i="2"/>
  <c r="C144" i="2" s="1"/>
  <c r="D129" i="2"/>
  <c r="D154" i="2" s="1"/>
  <c r="C102" i="2"/>
  <c r="C101" i="2"/>
  <c r="C100" i="2"/>
  <c r="C99" i="2"/>
  <c r="C98" i="2"/>
  <c r="C86" i="2"/>
  <c r="C83" i="2"/>
  <c r="D64" i="2"/>
  <c r="D63" i="2"/>
  <c r="C57" i="2"/>
  <c r="C87" i="2" s="1"/>
  <c r="C42" i="2"/>
  <c r="C41" i="2"/>
  <c r="D33" i="2"/>
  <c r="D150" i="2" s="1"/>
  <c r="C137" i="1"/>
  <c r="D8" i="7" s="1"/>
  <c r="C27" i="7" s="1"/>
  <c r="D154" i="1"/>
  <c r="C102" i="1"/>
  <c r="C101" i="1"/>
  <c r="C100" i="1"/>
  <c r="C99" i="1"/>
  <c r="C98" i="1"/>
  <c r="C86" i="1"/>
  <c r="C83" i="1"/>
  <c r="D64" i="1"/>
  <c r="D63" i="1"/>
  <c r="C57" i="1"/>
  <c r="D5" i="7" s="1"/>
  <c r="C42" i="1"/>
  <c r="C41" i="1"/>
  <c r="C43" i="1" s="1"/>
  <c r="D33" i="1"/>
  <c r="D68" i="2" l="1"/>
  <c r="D76" i="2" s="1"/>
  <c r="D68" i="4"/>
  <c r="D76" i="4" s="1"/>
  <c r="D25" i="8"/>
  <c r="D26" i="8" s="1"/>
  <c r="D68" i="1"/>
  <c r="D76" i="1" s="1"/>
  <c r="C43" i="3"/>
  <c r="D150" i="3"/>
  <c r="D88" i="5"/>
  <c r="D86" i="1"/>
  <c r="D87" i="1" s="1"/>
  <c r="C43" i="2"/>
  <c r="C144" i="1"/>
  <c r="D87" i="6"/>
  <c r="E25" i="9"/>
  <c r="E26" i="9" s="1"/>
  <c r="D85" i="1"/>
  <c r="D85" i="4"/>
  <c r="D41" i="5"/>
  <c r="D42" i="1"/>
  <c r="D86" i="3"/>
  <c r="D87" i="3" s="1"/>
  <c r="C43" i="4"/>
  <c r="C87" i="5"/>
  <c r="D41" i="6"/>
  <c r="D68" i="3"/>
  <c r="D76" i="3" s="1"/>
  <c r="C43" i="6"/>
  <c r="D25" i="12"/>
  <c r="D26" i="12" s="1"/>
  <c r="F47" i="13"/>
  <c r="F48" i="13" s="1"/>
  <c r="D85" i="5"/>
  <c r="D88" i="3"/>
  <c r="D41" i="2"/>
  <c r="D85" i="2"/>
  <c r="D42" i="2"/>
  <c r="D83" i="2"/>
  <c r="D84" i="2" s="1"/>
  <c r="D88" i="2"/>
  <c r="D88" i="1"/>
  <c r="F47" i="15"/>
  <c r="F48" i="15" s="1"/>
  <c r="F10" i="16"/>
  <c r="F11" i="16" s="1"/>
  <c r="F12" i="16" s="1"/>
  <c r="E25" i="7"/>
  <c r="D150" i="1"/>
  <c r="D83" i="1"/>
  <c r="C87" i="1"/>
  <c r="D41" i="1"/>
  <c r="D86" i="2"/>
  <c r="D87" i="2" s="1"/>
  <c r="D83" i="3"/>
  <c r="D85" i="3"/>
  <c r="D42" i="4"/>
  <c r="D83" i="4"/>
  <c r="D150" i="4"/>
  <c r="D83" i="5"/>
  <c r="D88" i="6"/>
  <c r="E4" i="12"/>
  <c r="D83" i="6"/>
  <c r="D85" i="6"/>
  <c r="D25" i="7"/>
  <c r="E25" i="8"/>
  <c r="E26" i="8" s="1"/>
  <c r="D8" i="10"/>
  <c r="C27" i="10" s="1"/>
  <c r="E25" i="11"/>
  <c r="E26" i="11"/>
  <c r="E4" i="11"/>
  <c r="E4" i="8"/>
  <c r="D25" i="11"/>
  <c r="D26" i="11" s="1"/>
  <c r="E25" i="12"/>
  <c r="E26" i="12" s="1"/>
  <c r="D5" i="11"/>
  <c r="D5" i="8"/>
  <c r="D25" i="10"/>
  <c r="D42" i="3"/>
  <c r="D43" i="3" s="1"/>
  <c r="D55" i="3" s="1"/>
  <c r="D41" i="4"/>
  <c r="D8" i="11"/>
  <c r="C27" i="11" s="1"/>
  <c r="D8" i="8"/>
  <c r="C27" i="8" s="1"/>
  <c r="D8" i="12"/>
  <c r="C27" i="12" s="1"/>
  <c r="D8" i="9"/>
  <c r="C27" i="9" s="1"/>
  <c r="C144" i="5"/>
  <c r="D25" i="9"/>
  <c r="D26" i="9" s="1"/>
  <c r="D5" i="10"/>
  <c r="E25" i="10"/>
  <c r="E26" i="10" s="1"/>
  <c r="E4" i="10"/>
  <c r="E4" i="7"/>
  <c r="D86" i="4"/>
  <c r="D87" i="4" s="1"/>
  <c r="C144" i="4"/>
  <c r="D42" i="5"/>
  <c r="D86" i="5"/>
  <c r="D42" i="6"/>
  <c r="D43" i="6" s="1"/>
  <c r="D150" i="6"/>
  <c r="E4" i="9"/>
  <c r="D5" i="9"/>
  <c r="D87" i="5" l="1"/>
  <c r="D43" i="1"/>
  <c r="D49" i="1" s="1"/>
  <c r="D43" i="5"/>
  <c r="F49" i="13"/>
  <c r="F50" i="13" s="1"/>
  <c r="D55" i="5"/>
  <c r="D54" i="5"/>
  <c r="E27" i="10"/>
  <c r="E28" i="10" s="1"/>
  <c r="D27" i="8"/>
  <c r="D28" i="8" s="1"/>
  <c r="E27" i="11"/>
  <c r="E28" i="11" s="1"/>
  <c r="D43" i="2"/>
  <c r="D50" i="2" s="1"/>
  <c r="D54" i="2"/>
  <c r="D52" i="2"/>
  <c r="D53" i="2"/>
  <c r="D49" i="2"/>
  <c r="F13" i="16"/>
  <c r="F14" i="16" s="1"/>
  <c r="E46" i="17" s="1"/>
  <c r="F46" i="17" s="1"/>
  <c r="D27" i="12"/>
  <c r="D28" i="12" s="1"/>
  <c r="D27" i="11"/>
  <c r="D28" i="11" s="1"/>
  <c r="D27" i="9"/>
  <c r="D28" i="9" s="1"/>
  <c r="E26" i="7"/>
  <c r="D26" i="7"/>
  <c r="D27" i="7" s="1"/>
  <c r="D28" i="7" s="1"/>
  <c r="E27" i="8"/>
  <c r="E28" i="8" s="1"/>
  <c r="D52" i="6"/>
  <c r="D51" i="6"/>
  <c r="D50" i="6"/>
  <c r="D74" i="6"/>
  <c r="D56" i="6"/>
  <c r="D54" i="6"/>
  <c r="D55" i="6"/>
  <c r="D53" i="6"/>
  <c r="D49" i="6"/>
  <c r="E27" i="12"/>
  <c r="E28" i="12" s="1"/>
  <c r="E5" i="8"/>
  <c r="E6" i="8" s="1"/>
  <c r="D54" i="1"/>
  <c r="F49" i="15"/>
  <c r="F50" i="15" s="1"/>
  <c r="F11" i="14"/>
  <c r="F12" i="14" s="1"/>
  <c r="D49" i="3"/>
  <c r="D84" i="1"/>
  <c r="D89" i="1"/>
  <c r="D152" i="1" s="1"/>
  <c r="D89" i="2"/>
  <c r="D152" i="2" s="1"/>
  <c r="D84" i="5"/>
  <c r="D89" i="5" s="1"/>
  <c r="D152" i="5" s="1"/>
  <c r="D52" i="5"/>
  <c r="D50" i="5"/>
  <c r="D74" i="5"/>
  <c r="D56" i="5"/>
  <c r="D49" i="5"/>
  <c r="D53" i="5"/>
  <c r="E5" i="7"/>
  <c r="E6" i="7" s="1"/>
  <c r="D26" i="10"/>
  <c r="D27" i="10" s="1"/>
  <c r="D51" i="1"/>
  <c r="D84" i="4"/>
  <c r="D89" i="4" s="1"/>
  <c r="D152" i="4" s="1"/>
  <c r="D56" i="1"/>
  <c r="D55" i="1"/>
  <c r="E5" i="10"/>
  <c r="D84" i="6"/>
  <c r="D89" i="6" s="1"/>
  <c r="D152" i="6" s="1"/>
  <c r="E5" i="12"/>
  <c r="E6" i="12" s="1"/>
  <c r="E7" i="12" s="1"/>
  <c r="D84" i="3"/>
  <c r="D89" i="3" s="1"/>
  <c r="D152" i="3" s="1"/>
  <c r="D50" i="1"/>
  <c r="D53" i="1"/>
  <c r="D52" i="1"/>
  <c r="D74" i="1"/>
  <c r="D43" i="4"/>
  <c r="D74" i="3"/>
  <c r="D54" i="3"/>
  <c r="D53" i="3"/>
  <c r="D52" i="3"/>
  <c r="D51" i="3"/>
  <c r="D50" i="3"/>
  <c r="E5" i="9"/>
  <c r="E5" i="11"/>
  <c r="E6" i="11" s="1"/>
  <c r="D51" i="5"/>
  <c r="E27" i="9"/>
  <c r="E28" i="9" s="1"/>
  <c r="D56" i="3"/>
  <c r="F51" i="13" l="1"/>
  <c r="F38" i="17" s="1"/>
  <c r="G38" i="17" s="1"/>
  <c r="D28" i="10"/>
  <c r="E29" i="10" s="1"/>
  <c r="D51" i="2"/>
  <c r="D74" i="2"/>
  <c r="D57" i="1"/>
  <c r="D75" i="1" s="1"/>
  <c r="D77" i="1" s="1"/>
  <c r="D55" i="2"/>
  <c r="D56" i="2"/>
  <c r="E6" i="10"/>
  <c r="E7" i="10" s="1"/>
  <c r="E29" i="12"/>
  <c r="E27" i="7"/>
  <c r="E28" i="7" s="1"/>
  <c r="E29" i="7" s="1"/>
  <c r="E8" i="12"/>
  <c r="E9" i="12" s="1"/>
  <c r="E10" i="12" s="1"/>
  <c r="F13" i="14"/>
  <c r="F14" i="14" s="1"/>
  <c r="D57" i="3"/>
  <c r="D75" i="3" s="1"/>
  <c r="D77" i="3" s="1"/>
  <c r="E6" i="9"/>
  <c r="E7" i="7"/>
  <c r="E8" i="7" s="1"/>
  <c r="E7" i="8"/>
  <c r="E8" i="8" s="1"/>
  <c r="E29" i="8"/>
  <c r="E7" i="11"/>
  <c r="E8" i="11" s="1"/>
  <c r="E9" i="11" s="1"/>
  <c r="E10" i="11" s="1"/>
  <c r="E29" i="9"/>
  <c r="D57" i="5"/>
  <c r="D75" i="5" s="1"/>
  <c r="D77" i="5" s="1"/>
  <c r="D50" i="4"/>
  <c r="D74" i="4"/>
  <c r="D55" i="4"/>
  <c r="D54" i="4"/>
  <c r="D53" i="4"/>
  <c r="D52" i="4"/>
  <c r="D51" i="4"/>
  <c r="D49" i="4"/>
  <c r="D56" i="4"/>
  <c r="D57" i="6"/>
  <c r="D75" i="6" s="1"/>
  <c r="D77" i="6" s="1"/>
  <c r="F51" i="15"/>
  <c r="E45" i="17" s="1"/>
  <c r="F45" i="17" s="1"/>
  <c r="E29" i="11"/>
  <c r="C45" i="17" l="1"/>
  <c r="D45" i="17" s="1"/>
  <c r="G45" i="17" s="1"/>
  <c r="D57" i="2"/>
  <c r="D75" i="2" s="1"/>
  <c r="D77" i="2" s="1"/>
  <c r="E9" i="8"/>
  <c r="E10" i="8" s="1"/>
  <c r="E12" i="8" s="1"/>
  <c r="E16" i="8" s="1"/>
  <c r="E7" i="9"/>
  <c r="E8" i="9" s="1"/>
  <c r="E9" i="9" s="1"/>
  <c r="E10" i="9" s="1"/>
  <c r="E8" i="10"/>
  <c r="E9" i="10" s="1"/>
  <c r="E10" i="10" s="1"/>
  <c r="D110" i="5"/>
  <c r="D111" i="5" s="1"/>
  <c r="D118" i="5" s="1"/>
  <c r="D100" i="5"/>
  <c r="D151" i="5"/>
  <c r="D103" i="5"/>
  <c r="D98" i="5"/>
  <c r="D102" i="5"/>
  <c r="D99" i="5"/>
  <c r="D101" i="5"/>
  <c r="E12" i="11"/>
  <c r="E16" i="11" s="1"/>
  <c r="E11" i="11"/>
  <c r="D151" i="6"/>
  <c r="D99" i="6"/>
  <c r="D98" i="6"/>
  <c r="D100" i="6"/>
  <c r="D110" i="6"/>
  <c r="D111" i="6" s="1"/>
  <c r="D118" i="6" s="1"/>
  <c r="D103" i="6"/>
  <c r="D102" i="6"/>
  <c r="D101" i="6"/>
  <c r="D57" i="4"/>
  <c r="D75" i="4" s="1"/>
  <c r="D77" i="4" s="1"/>
  <c r="E9" i="7"/>
  <c r="E10" i="7" s="1"/>
  <c r="C46" i="17"/>
  <c r="D46" i="17" s="1"/>
  <c r="G46" i="17" s="1"/>
  <c r="F39" i="17"/>
  <c r="G39" i="17" s="1"/>
  <c r="G40" i="17" s="1"/>
  <c r="G54" i="17" s="1"/>
  <c r="G33" i="18" s="1"/>
  <c r="D151" i="3"/>
  <c r="D110" i="3"/>
  <c r="D111" i="3" s="1"/>
  <c r="D118" i="3" s="1"/>
  <c r="D100" i="3"/>
  <c r="D103" i="3"/>
  <c r="D99" i="3"/>
  <c r="D102" i="3"/>
  <c r="D98" i="3"/>
  <c r="D101" i="3"/>
  <c r="D151" i="1"/>
  <c r="D100" i="1"/>
  <c r="D103" i="1"/>
  <c r="D102" i="1"/>
  <c r="D98" i="1"/>
  <c r="D99" i="1"/>
  <c r="D110" i="1"/>
  <c r="D111" i="1" s="1"/>
  <c r="D118" i="1" s="1"/>
  <c r="D101" i="1"/>
  <c r="E12" i="12"/>
  <c r="E16" i="12" s="1"/>
  <c r="E11" i="12"/>
  <c r="E11" i="8" l="1"/>
  <c r="E14" i="8" s="1"/>
  <c r="D100" i="2"/>
  <c r="D151" i="2"/>
  <c r="D99" i="2"/>
  <c r="D103" i="2"/>
  <c r="D101" i="2"/>
  <c r="D102" i="2"/>
  <c r="D98" i="2"/>
  <c r="D110" i="2"/>
  <c r="D111" i="2" s="1"/>
  <c r="D118" i="2" s="1"/>
  <c r="E11" i="9"/>
  <c r="E15" i="9" s="1"/>
  <c r="E12" i="9"/>
  <c r="E16" i="9" s="1"/>
  <c r="E12" i="10"/>
  <c r="E16" i="10" s="1"/>
  <c r="E11" i="10"/>
  <c r="G47" i="17"/>
  <c r="G62" i="17" s="1"/>
  <c r="G40" i="18" s="1"/>
  <c r="E14" i="11"/>
  <c r="E15" i="11"/>
  <c r="D151" i="4"/>
  <c r="D103" i="4"/>
  <c r="D110" i="4"/>
  <c r="D111" i="4" s="1"/>
  <c r="D118" i="4" s="1"/>
  <c r="D101" i="4"/>
  <c r="D98" i="4"/>
  <c r="D102" i="4"/>
  <c r="D99" i="4"/>
  <c r="D100" i="4"/>
  <c r="D104" i="5"/>
  <c r="D117" i="5" s="1"/>
  <c r="D119" i="5" s="1"/>
  <c r="D153" i="5" s="1"/>
  <c r="D155" i="5" s="1"/>
  <c r="E12" i="7"/>
  <c r="E16" i="7" s="1"/>
  <c r="E11" i="7"/>
  <c r="D104" i="3"/>
  <c r="D117" i="3" s="1"/>
  <c r="D119" i="3" s="1"/>
  <c r="D153" i="3" s="1"/>
  <c r="D155" i="3" s="1"/>
  <c r="E15" i="12"/>
  <c r="E14" i="12"/>
  <c r="D104" i="1"/>
  <c r="D117" i="1" s="1"/>
  <c r="D119" i="1" s="1"/>
  <c r="D153" i="1" s="1"/>
  <c r="D155" i="1" s="1"/>
  <c r="D104" i="6"/>
  <c r="D117" i="6" s="1"/>
  <c r="D119" i="6" s="1"/>
  <c r="D153" i="6" s="1"/>
  <c r="D155" i="6" s="1"/>
  <c r="E15" i="8" l="1"/>
  <c r="E17" i="8" s="1"/>
  <c r="E19" i="8" s="1"/>
  <c r="E30" i="8" s="1"/>
  <c r="E31" i="17" s="1"/>
  <c r="D104" i="2"/>
  <c r="D117" i="2" s="1"/>
  <c r="D119" i="2" s="1"/>
  <c r="D153" i="2" s="1"/>
  <c r="D155" i="2" s="1"/>
  <c r="D135" i="2" s="1"/>
  <c r="E17" i="12"/>
  <c r="E19" i="12" s="1"/>
  <c r="E30" i="12" s="1"/>
  <c r="F32" i="17" s="1"/>
  <c r="E14" i="9"/>
  <c r="E17" i="9" s="1"/>
  <c r="E19" i="9" s="1"/>
  <c r="E30" i="9" s="1"/>
  <c r="E32" i="17" s="1"/>
  <c r="D104" i="4"/>
  <c r="D117" i="4" s="1"/>
  <c r="D119" i="4" s="1"/>
  <c r="D153" i="4" s="1"/>
  <c r="D155" i="4" s="1"/>
  <c r="E14" i="10"/>
  <c r="E15" i="10"/>
  <c r="E17" i="11"/>
  <c r="E19" i="11" s="1"/>
  <c r="E30" i="11" s="1"/>
  <c r="F31" i="17" s="1"/>
  <c r="D135" i="1"/>
  <c r="D135" i="5"/>
  <c r="D135" i="6"/>
  <c r="D135" i="3"/>
  <c r="E15" i="7"/>
  <c r="E14" i="7"/>
  <c r="G31" i="17" l="1"/>
  <c r="G32" i="17"/>
  <c r="D136" i="5"/>
  <c r="D137" i="5" s="1"/>
  <c r="D136" i="2"/>
  <c r="D137" i="2" s="1"/>
  <c r="D144" i="2" s="1"/>
  <c r="D156" i="2" s="1"/>
  <c r="D157" i="2" s="1"/>
  <c r="D139" i="2" s="1"/>
  <c r="E17" i="10"/>
  <c r="E19" i="10" s="1"/>
  <c r="E30" i="10" s="1"/>
  <c r="F30" i="17" s="1"/>
  <c r="E17" i="7"/>
  <c r="E19" i="7" s="1"/>
  <c r="E30" i="7" s="1"/>
  <c r="E30" i="17" s="1"/>
  <c r="D136" i="6"/>
  <c r="D137" i="6" s="1"/>
  <c r="D136" i="3"/>
  <c r="D136" i="1"/>
  <c r="D135" i="4"/>
  <c r="D136" i="4" s="1"/>
  <c r="D137" i="4" s="1"/>
  <c r="G30" i="17" l="1"/>
  <c r="G33" i="17" s="1"/>
  <c r="G61" i="17" s="1"/>
  <c r="G39" i="18" s="1"/>
  <c r="D144" i="5"/>
  <c r="D156" i="5" s="1"/>
  <c r="D157" i="5" s="1"/>
  <c r="D142" i="5" s="1"/>
  <c r="D143" i="2"/>
  <c r="D15" i="17"/>
  <c r="F15" i="17" s="1"/>
  <c r="G15" i="17" s="1"/>
  <c r="D141" i="2"/>
  <c r="D142" i="2"/>
  <c r="D138" i="2"/>
  <c r="D140" i="2"/>
  <c r="D144" i="6"/>
  <c r="D156" i="6" s="1"/>
  <c r="D157" i="6" s="1"/>
  <c r="D142" i="6" s="1"/>
  <c r="D137" i="3"/>
  <c r="D144" i="3" s="1"/>
  <c r="D156" i="3" s="1"/>
  <c r="D157" i="3" s="1"/>
  <c r="D142" i="3" s="1"/>
  <c r="D137" i="1"/>
  <c r="D144" i="1" s="1"/>
  <c r="D156" i="1" s="1"/>
  <c r="D157" i="1" s="1"/>
  <c r="D143" i="1" s="1"/>
  <c r="D144" i="4"/>
  <c r="D156" i="4" s="1"/>
  <c r="D157" i="4" s="1"/>
  <c r="D139" i="5" l="1"/>
  <c r="D141" i="5"/>
  <c r="D138" i="5"/>
  <c r="D143" i="5"/>
  <c r="D140" i="5"/>
  <c r="D18" i="17"/>
  <c r="F18" i="17" s="1"/>
  <c r="G18" i="17" s="1"/>
  <c r="D143" i="6"/>
  <c r="D24" i="17"/>
  <c r="F24" i="17" s="1"/>
  <c r="F25" i="17" s="1"/>
  <c r="D138" i="6"/>
  <c r="D140" i="6"/>
  <c r="D139" i="6"/>
  <c r="D141" i="6"/>
  <c r="D143" i="3"/>
  <c r="D138" i="1"/>
  <c r="D141" i="3"/>
  <c r="D138" i="3"/>
  <c r="D16" i="17"/>
  <c r="F16" i="17" s="1"/>
  <c r="G16" i="17" s="1"/>
  <c r="D139" i="3"/>
  <c r="D140" i="3"/>
  <c r="D139" i="1"/>
  <c r="D140" i="1"/>
  <c r="D141" i="1"/>
  <c r="D14" i="17"/>
  <c r="F14" i="17" s="1"/>
  <c r="D142" i="1"/>
  <c r="D17" i="17"/>
  <c r="F17" i="17" s="1"/>
  <c r="G17" i="17" s="1"/>
  <c r="D139" i="4"/>
  <c r="D143" i="4"/>
  <c r="D142" i="4"/>
  <c r="D141" i="4"/>
  <c r="D140" i="4"/>
  <c r="D138" i="4"/>
  <c r="G24" i="17" l="1"/>
  <c r="G25" i="17" s="1"/>
  <c r="F19" i="17"/>
  <c r="G14" i="17"/>
  <c r="G19" i="17" s="1"/>
  <c r="G60" i="17" l="1"/>
  <c r="G38" i="18" s="1"/>
  <c r="G53" i="17"/>
  <c r="G59" i="17"/>
  <c r="G37" i="18" s="1"/>
  <c r="G41" i="18" l="1"/>
  <c r="G55" i="17"/>
  <c r="G32" i="18"/>
  <c r="G34" i="18" s="1"/>
  <c r="G63" i="17"/>
  <c r="G43" i="18" l="1"/>
  <c r="G65" i="17"/>
  <c r="G149" i="1" l="1"/>
</calcChain>
</file>

<file path=xl/sharedStrings.xml><?xml version="1.0" encoding="utf-8"?>
<sst xmlns="http://schemas.openxmlformats.org/spreadsheetml/2006/main" count="1968" uniqueCount="374">
  <si>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</si>
  <si>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</si>
  <si>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</si>
  <si>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</si>
  <si>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</si>
  <si>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</si>
  <si>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</si>
  <si>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</si>
  <si>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</si>
  <si>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</si>
  <si>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</si>
  <si>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</si>
  <si>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</si>
  <si>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</si>
  <si>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 de Limpeza</t>
  </si>
  <si>
    <t>posto de serviço</t>
  </si>
  <si>
    <t>Dados complementares para composição dos custos referente à mão-de-obra</t>
  </si>
  <si>
    <t>Tipo de serviço (mesmo serviço com características distintas)</t>
  </si>
  <si>
    <t>Servente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</si>
  <si>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</si>
  <si>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</si>
  <si>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</si>
  <si>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</si>
  <si>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</si>
  <si>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</si>
  <si>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</si>
  <si>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</si>
  <si>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</si>
  <si>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</si>
  <si>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</si>
  <si>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</si>
  <si>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</si>
  <si>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</si>
  <si>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</si>
  <si>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</si>
  <si>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</si>
  <si>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</si>
  <si>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</si>
  <si>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</si>
  <si>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</si>
  <si>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</si>
  <si>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</si>
  <si>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</si>
  <si>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</si>
  <si>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</si>
  <si>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</si>
  <si>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</si>
  <si>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</si>
  <si>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</si>
  <si>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</si>
  <si>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</si>
  <si>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</si>
  <si>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</si>
  <si>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</si>
  <si>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</si>
  <si>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</si>
  <si>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</si>
  <si>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</si>
  <si>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</si>
  <si>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</si>
  <si>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</si>
  <si>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</si>
  <si>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</si>
  <si>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</si>
  <si>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</si>
  <si>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</si>
  <si>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</si>
  <si>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</si>
  <si>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</si>
  <si>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</si>
  <si>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</si>
  <si>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</si>
  <si>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</si>
  <si>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</si>
  <si>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</si>
  <si>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</si>
  <si>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</si>
  <si>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</si>
  <si>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</si>
  <si>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</si>
  <si>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</si>
  <si>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</si>
  <si>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</si>
  <si>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</si>
  <si>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</si>
  <si>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</si>
  <si>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</si>
  <si>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</si>
  <si>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</si>
  <si>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</si>
  <si>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</si>
  <si>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</si>
  <si>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</si>
  <si>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</si>
  <si>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</si>
  <si>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</si>
  <si>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EPIs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</si>
  <si>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</si>
  <si>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</si>
  <si>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</si>
  <si>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</si>
  <si>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</si>
  <si>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</si>
  <si>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</si>
  <si>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</si>
  <si>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</si>
  <si>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</si>
  <si>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</si>
  <si>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</si>
  <si>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</si>
  <si>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</si>
  <si>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</si>
  <si>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</si>
  <si>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Jardineiro</t>
  </si>
  <si>
    <t>6220-10</t>
  </si>
  <si>
    <t>Auxiliar de Jardinagem</t>
  </si>
  <si>
    <t>Supervisor</t>
  </si>
  <si>
    <t>4101-05</t>
  </si>
  <si>
    <t>Cabo de Turma</t>
  </si>
  <si>
    <t>HORAS EXTRAS – de agosto a setembro – ano eleitoral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</si>
  <si>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</si>
  <si>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</si>
  <si>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</si>
  <si>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</si>
  <si>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</si>
  <si>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</si>
  <si>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</si>
  <si>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</si>
  <si>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</si>
  <si>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</si>
  <si>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</si>
  <si>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</si>
  <si>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 e 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</si>
  <si>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</si>
  <si>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</si>
  <si>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</si>
  <si>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</si>
  <si>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</si>
  <si>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</si>
  <si>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L</t>
  </si>
  <si>
    <t>Vale transporte</t>
  </si>
  <si>
    <t>M</t>
  </si>
  <si>
    <t>Vale alimentação</t>
  </si>
  <si>
    <t>Subtotal1</t>
  </si>
  <si>
    <t>N</t>
  </si>
  <si>
    <t>O</t>
  </si>
  <si>
    <t>P</t>
  </si>
  <si>
    <t>Subtotal2</t>
  </si>
  <si>
    <t>Total transporte e alimentação com horas extras</t>
  </si>
  <si>
    <t>Custo Total com Hora Extra</t>
  </si>
  <si>
    <t>HORAS EXTRAS – outubro – ano eleitoral</t>
  </si>
  <si>
    <t>4.4.1.3. ANO NÃO ELEITORAL E ANO ELEITORAL NOS MESES DE JANEIRO, FEVEREIRO, MARÇO, ABRIL, MAIO, JUNHO, NOVEMBRO E DEZEMBRO 
CONSUMO MÉDIO MENSAL ESTIMADO TOTAL 
CATEGORIA PROFISSIONAL: SERVENTE</t>
  </si>
  <si>
    <t>Item</t>
  </si>
  <si>
    <t>Descrição</t>
  </si>
  <si>
    <t>Unidade de Fornecimento</t>
  </si>
  <si>
    <t>Quantidade</t>
  </si>
  <si>
    <t>Valor Unitário</t>
  </si>
  <si>
    <t>Valor Total</t>
  </si>
  <si>
    <t xml:space="preserve">Água sanitária </t>
  </si>
  <si>
    <t>Cera preta para piso emborrachado</t>
  </si>
  <si>
    <t>Desinfetante líquido germicida</t>
  </si>
  <si>
    <t>Desodorante para sanitário (desodor)</t>
  </si>
  <si>
    <t>Detergente líquido para lavar louças</t>
  </si>
  <si>
    <t>Detergente neutro concentrado</t>
  </si>
  <si>
    <t>Desentupidor de pia</t>
  </si>
  <si>
    <t>Escova com cerdas de nylon</t>
  </si>
  <si>
    <t>Espanador</t>
  </si>
  <si>
    <t>Esponja de Aço</t>
  </si>
  <si>
    <t>Esponja dupla face</t>
  </si>
  <si>
    <t>Flanela</t>
  </si>
  <si>
    <t>Inseticida spray (sem CFC – uso doméstico)</t>
  </si>
  <si>
    <t>Limpador multiuso</t>
  </si>
  <si>
    <t>Luva de borracha própria para atividades insalubres</t>
  </si>
  <si>
    <t>Lustra móveis à base de carnaúba</t>
  </si>
  <si>
    <t>Palha de aço</t>
  </si>
  <si>
    <t>Pá para lixo com cabo longo</t>
  </si>
  <si>
    <t>Pano para chão</t>
  </si>
  <si>
    <t>Pasta multiuso</t>
  </si>
  <si>
    <t>Polidor de metais</t>
  </si>
  <si>
    <t>Purificador de ar spray (sem CFC)</t>
  </si>
  <si>
    <t>Rodo (cabo e base já fixados) 60 cm</t>
  </si>
  <si>
    <t>Rodo (cabo e base já fixados) 30 cm</t>
  </si>
  <si>
    <t>Sabão em pó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</si>
  <si>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</si>
  <si>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</si>
  <si>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</si>
  <si>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</si>
  <si>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azul resistente para lixo de 200 litros</t>
  </si>
  <si>
    <t>Vassoura de piaçava grande (com o cabo e a base já fixados) 60cm</t>
  </si>
  <si>
    <t>Vassoura de piaçava pequena (pia)</t>
  </si>
  <si>
    <t>Vassoura gari</t>
  </si>
  <si>
    <t>valor MATERIAIS</t>
  </si>
  <si>
    <t>custos indiretos</t>
  </si>
  <si>
    <t>lucro</t>
  </si>
  <si>
    <t>tributos</t>
  </si>
  <si>
    <t>custo total MATERIAIS</t>
  </si>
  <si>
    <t>4.4.1.3. ANO NÃO ELEITORAL E ANO ELEITORAL NOS MESES DE JANEIRO, FEVEREIRO, MARÇO, ABRIL, MAIO, JUNHO, NOVEMBRO E DEZEMBRO 
CONSUMO MÉDIO MENSAL ESTIMADO TOTAL 
CATEGORIA PROFISSIONAL: JARDINEIRO E AUXILIAR DE JARDINAGEM</t>
  </si>
  <si>
    <t>Terra vegetal</t>
  </si>
  <si>
    <t>Adubo</t>
  </si>
  <si>
    <t>Pesticida</t>
  </si>
  <si>
    <t>litro</t>
  </si>
  <si>
    <t>Uréia</t>
  </si>
  <si>
    <t>Pó 50 p/ formiga</t>
  </si>
  <si>
    <t>Formicida granulada</t>
  </si>
  <si>
    <t>Húmus de minhoca</t>
  </si>
  <si>
    <t>saco</t>
  </si>
  <si>
    <t>4.4.1.3. ANO ELEITORAL NOS MESES DE JULHO, AGOSTO, SETEMBRO E OUTUBRO
CONSUMO MÉDIO MENSAL ESTIMADO TOTAL 
CATEGORIA PROFISSIONAL: SERVENTE</t>
  </si>
  <si>
    <t>fardo</t>
  </si>
  <si>
    <t>unidade</t>
  </si>
  <si>
    <t>pacote</t>
  </si>
  <si>
    <t>caixa</t>
  </si>
  <si>
    <t>4.4.1.3. ANO ELEITORAL NOS MESES DE JULHO, AGOSTO, SETEMBRO E OUTUBRO
CONSUMO MÉDIO MENSAL ESTIMADO TOTAL 
CATEGORIA PROFISSIONAL: JARDINEIRO E AUXILIAR DE JARDINAGEM</t>
  </si>
  <si>
    <t>QUADRO RESUMO - VALORES ESTIMADOS</t>
  </si>
  <si>
    <t>Valor dos postos regulares</t>
  </si>
  <si>
    <t>item</t>
  </si>
  <si>
    <t>profissional</t>
  </si>
  <si>
    <t>valor mensal do posto</t>
  </si>
  <si>
    <t>quantidade de postos</t>
  </si>
  <si>
    <t>valor mensal</t>
  </si>
  <si>
    <t>valor total 
(12 meses)</t>
  </si>
  <si>
    <t>Total A</t>
  </si>
  <si>
    <t>Valor dos postos temporários</t>
  </si>
  <si>
    <t>valor total 
(04 meses)</t>
  </si>
  <si>
    <t>Total B</t>
  </si>
  <si>
    <t>Hora extra para ano eleitoral</t>
  </si>
  <si>
    <t>agosto a setembro</t>
  </si>
  <si>
    <t>outubro</t>
  </si>
  <si>
    <t>valor total</t>
  </si>
  <si>
    <t>Total C</t>
  </si>
  <si>
    <t>Materiais – ano não eleitoral</t>
  </si>
  <si>
    <t>Jardineiro e Auxiliar de Jardinagem</t>
  </si>
  <si>
    <t>Total D</t>
  </si>
  <si>
    <t>Materiais – ano eleitoral</t>
  </si>
  <si>
    <t>valor mensal exceto julho, agosto, setembro e outubro</t>
  </si>
  <si>
    <t>valor total 
(08 meses)</t>
  </si>
  <si>
    <t>valor mensal apenas julho, agosto, setembro e outubro</t>
  </si>
  <si>
    <t>Total E</t>
  </si>
  <si>
    <t>Valor total estimado</t>
  </si>
  <si>
    <t>Ano não eleitoral</t>
  </si>
  <si>
    <t>Postos regulares</t>
  </si>
  <si>
    <t>Postos temporários</t>
  </si>
  <si>
    <t>Ano eleitoral</t>
  </si>
  <si>
    <t>Hora extra</t>
  </si>
  <si>
    <t>Valor total estimado para a contratação – 24 meses</t>
  </si>
  <si>
    <t>Álcool líquido 70%</t>
  </si>
  <si>
    <t>Álcool em gel 70%</t>
  </si>
  <si>
    <t>Balde plástico com alça (capacidade de 10 litros)</t>
  </si>
  <si>
    <t>Balde plástico com alça (capacidade de 20 litros)</t>
  </si>
  <si>
    <t xml:space="preserve">Borrifador </t>
  </si>
  <si>
    <t xml:space="preserve">Estopa para polimento </t>
  </si>
  <si>
    <t>Máscara descartável N95 (PFF2)</t>
  </si>
  <si>
    <t>Papel higiênico de luxo (fardo com 64 rolos, agrupados em 04 de 40m cada, picotado, extra-macio, resistente, branco folha dupla, absorvente, alta qualidade, extra fino, liso neutro, sem perfume, 100% fibras celulósicas, não perecível)</t>
  </si>
  <si>
    <t>Papel toalha de luxo (fardo com 1.250 folhas cintadas de 250, branco, liso, macio, absorvente, dobrado para uso em porta- papel, formato 23x27cm, não perecível)</t>
  </si>
  <si>
    <t>kg</t>
  </si>
  <si>
    <t>Saco plástico preto resistente para lixo de 300 litros</t>
  </si>
  <si>
    <t>Diluidor de produto de limpeza concentrado</t>
  </si>
  <si>
    <t>SEAC x SINDILIMP – BA000008/2022</t>
  </si>
  <si>
    <t>Servente de Limpeza -  acréscimo nos meses de julho, agosto, setembro e outubro em ano eleitoral</t>
  </si>
  <si>
    <t>PROPOSTA DE PREÇOS</t>
  </si>
  <si>
    <t>DADOS DO PROPONENTE:</t>
  </si>
  <si>
    <t>Proponente:</t>
  </si>
  <si>
    <t>D&amp;L SERVIÇOS DE APOIO ADMINISTRATIVO LTDA</t>
  </si>
  <si>
    <t>CPF/CNPJ:</t>
  </si>
  <si>
    <t>09.172.237/0001-24</t>
  </si>
  <si>
    <t>Telefone/FAX:</t>
  </si>
  <si>
    <t xml:space="preserve">(85) 3257-6248 </t>
  </si>
  <si>
    <t>Endereço:</t>
  </si>
  <si>
    <t xml:space="preserve">Rua Tibúrcio Cavalcante, 2902 </t>
  </si>
  <si>
    <t>Cidade/UF:</t>
  </si>
  <si>
    <t>Fortaleza/CE</t>
  </si>
  <si>
    <t>Complemento:</t>
  </si>
  <si>
    <t>Dionísio Torres</t>
  </si>
  <si>
    <t>CEP:</t>
  </si>
  <si>
    <t>60.125-101</t>
  </si>
  <si>
    <t>E-mail</t>
  </si>
  <si>
    <t xml:space="preserve">del@delservicos.com.br </t>
  </si>
  <si>
    <t>DADOS PARA ASSINATURA DO CONTRATO:</t>
  </si>
  <si>
    <t>Nome:</t>
  </si>
  <si>
    <t>Luanna Simões Pereira</t>
  </si>
  <si>
    <t>CPF:</t>
  </si>
  <si>
    <t>004.150.423-21</t>
  </si>
  <si>
    <t>(85) 3257-6248</t>
  </si>
  <si>
    <t>RG:</t>
  </si>
  <si>
    <t>SSP/CE</t>
  </si>
  <si>
    <t>Naturalidade:</t>
  </si>
  <si>
    <t>Manaus/AM</t>
  </si>
  <si>
    <t>Nacionalidade:</t>
  </si>
  <si>
    <t>Brasileira</t>
  </si>
  <si>
    <t>Cargo/Função</t>
  </si>
  <si>
    <t>Procuradora</t>
  </si>
  <si>
    <t>Rua Nunes Valente, 35 - Aptº. 800</t>
  </si>
  <si>
    <t>Meireles</t>
  </si>
  <si>
    <t>60.125-070</t>
  </si>
  <si>
    <t>DADOS BANCÁRIOS:</t>
  </si>
  <si>
    <t>OBJETO DA LICITAÇÃO</t>
  </si>
  <si>
    <t>QUADRO RESUMO</t>
  </si>
  <si>
    <t>RG Nº. 2000002011949 SSP-CE</t>
  </si>
  <si>
    <t>CPF Nº. 004.150.423-21</t>
  </si>
  <si>
    <t>TRIBUNAL REGIONAL ELEITORAL DA BAHIA</t>
  </si>
  <si>
    <t>SEÇÃO DE LICITAÇÕES</t>
  </si>
  <si>
    <t>PROCESSO N° 0011260-54.2021.6.05.8000</t>
  </si>
  <si>
    <t>PREGÃO ELETRÔNICO Nº 13/2022</t>
  </si>
  <si>
    <t>Data e Horário da Sessão Pública de Lances: 01/07/2022 às 08:30 Horas (Horário-DF)</t>
  </si>
  <si>
    <r>
      <t xml:space="preserve">O objeto da presente licitação é a escolha da proposta mais vantajosa para a contratação de pessoa jurídica para a prestação de </t>
    </r>
    <r>
      <rPr>
        <b/>
        <sz val="10"/>
        <rFont val="Calibri"/>
        <family val="2"/>
        <scheme val="minor"/>
      </rPr>
      <t>serviços continuados de limpeza, conservação e higienização com cessão de mão-de-obra residente e com fornecimento de material de consumo e equipamentos,</t>
    </r>
    <r>
      <rPr>
        <sz val="10"/>
        <rFont val="Calibri"/>
        <family val="2"/>
        <scheme val="minor"/>
      </rPr>
      <t xml:space="preserve"> sob o regime de empreitada por preço global, observando-se o regime unitário apenas em relação ao fornecimento dos materiais, das áreas internas e externas do edifício-sede do </t>
    </r>
    <r>
      <rPr>
        <b/>
        <sz val="10"/>
        <rFont val="Calibri"/>
        <family val="2"/>
        <scheme val="minor"/>
      </rPr>
      <t xml:space="preserve">Tribunal Regional Eleitoral da Bahia e seus anexos (Anexo I - Cartórios Eleitorais da Capital e Central de Atendimento ao Público; Anexo II; e o novo Anexo III), situados à Primeira Avenida do CAB – Centro Administrativo da Bahia nº 150, Salvador – Bahia, e do Centro de Apoio Técnico – CAT (Depósito de Urnas Eletrônicas e Almoxarifado Central), </t>
    </r>
    <r>
      <rPr>
        <sz val="10"/>
        <rFont val="Calibri"/>
        <family val="2"/>
        <scheme val="minor"/>
      </rPr>
      <t>pelo período de 24 meses.</t>
    </r>
  </si>
  <si>
    <t>ANO NÃO ELEITORAL</t>
  </si>
  <si>
    <t>Postos Regulares</t>
  </si>
  <si>
    <r>
      <t xml:space="preserve">Conta Corrente: </t>
    </r>
    <r>
      <rPr>
        <sz val="10"/>
        <rFont val="Calibri"/>
        <family val="2"/>
        <scheme val="minor"/>
      </rPr>
      <t>8258-9</t>
    </r>
  </si>
  <si>
    <r>
      <rPr>
        <b/>
        <sz val="10"/>
        <rFont val="Calibri"/>
        <family val="2"/>
        <scheme val="minor"/>
      </rPr>
      <t>Praça pagto:</t>
    </r>
    <r>
      <rPr>
        <sz val="10"/>
        <rFont val="Calibri"/>
        <family val="2"/>
        <scheme val="minor"/>
      </rPr>
      <t xml:space="preserve"> Fortaleza/CE</t>
    </r>
  </si>
  <si>
    <r>
      <t xml:space="preserve">Institutição: </t>
    </r>
    <r>
      <rPr>
        <sz val="10"/>
        <rFont val="Calibri"/>
        <family val="2"/>
        <scheme val="minor"/>
      </rPr>
      <t>Banco Bradesco S/A</t>
    </r>
  </si>
  <si>
    <r>
      <t xml:space="preserve">Agência: </t>
    </r>
    <r>
      <rPr>
        <sz val="10"/>
        <rFont val="Calibri"/>
        <family val="2"/>
        <scheme val="minor"/>
      </rPr>
      <t>0624-6</t>
    </r>
  </si>
  <si>
    <t>TOTAL</t>
  </si>
  <si>
    <t>ANO ELEITORAL</t>
  </si>
  <si>
    <t>Postos Temporários</t>
  </si>
  <si>
    <t>Hora Extra</t>
  </si>
  <si>
    <t>VALOR TOTAL PARA A CONTRATAÇÃO - 24 MESES</t>
  </si>
  <si>
    <r>
      <t xml:space="preserve">Prazo de Validade da Proposta: </t>
    </r>
    <r>
      <rPr>
        <sz val="10"/>
        <rFont val="Calibri"/>
        <family val="2"/>
        <scheme val="minor"/>
      </rPr>
      <t>60 (sessenta) dias, contados da data de abertura da sessão pública.</t>
    </r>
  </si>
  <si>
    <r>
      <rPr>
        <b/>
        <sz val="10"/>
        <rFont val="Calibri"/>
        <family val="2"/>
        <scheme val="minor"/>
      </rPr>
      <t>Prazo de Execução dos Serviços:</t>
    </r>
    <r>
      <rPr>
        <sz val="10"/>
        <rFont val="Calibri"/>
        <family val="2"/>
        <scheme val="minor"/>
      </rPr>
      <t xml:space="preserve"> 24 (vinte e quatro) meses.</t>
    </r>
  </si>
  <si>
    <t>Declaramos que o regime de tributação, para o PIS e COFINS, que será adotado durante a execução do contrato é o LUCRO REAL (NÃO CUMULATIVO).</t>
  </si>
  <si>
    <t>Calça comprida, com elástico e cordão, de gabardine.</t>
  </si>
  <si>
    <t>Camisa malha fria PV, gola careca.</t>
  </si>
  <si>
    <t>Meia de algodão, tipo soquete.</t>
  </si>
  <si>
    <t>Tênis preto em couro, solado baixo, com palmilha antibacteriana.</t>
  </si>
  <si>
    <t>Crachá contendo o nome do profissional, sua foto recente, função (com flexão de gênero, por ex: jardineiro, jardineira), número de carteira de identidade, número de carteira trabalho, grupo sangüíneo e fator
Rh.</t>
  </si>
  <si>
    <t>par</t>
  </si>
  <si>
    <t>Quantidade Anual</t>
  </si>
  <si>
    <t>valor anual do uniforme por pessoa</t>
  </si>
  <si>
    <t>valor mensal por pessoa</t>
  </si>
  <si>
    <t>UNIFORME
CATEGORIA PROFISSIONAL: SERVENTE, JARDINEIRO, AUXILIAR DE JARDINEIRO, SUPERVISOR E CABO DE TURMA</t>
  </si>
  <si>
    <t>EQUIPAMENTOS</t>
  </si>
  <si>
    <t>aspiradores de pó, para áreas acarpetadas</t>
  </si>
  <si>
    <t>escada portátil expansível</t>
  </si>
  <si>
    <t>mangueira de borracha, reforçada, lonada 3/4", 50 m de comprimento</t>
  </si>
  <si>
    <t>ancinho ou vassoura de grama</t>
  </si>
  <si>
    <t>aparador de grama</t>
  </si>
  <si>
    <t>pulverizador de inseticida</t>
  </si>
  <si>
    <t>enceradeira do tipo industrial</t>
  </si>
  <si>
    <t>valor total equipamentos</t>
  </si>
  <si>
    <t>valor mensal equipamentos</t>
  </si>
  <si>
    <t>capacete</t>
  </si>
  <si>
    <t>luvas raspa de couro cano curto (punho 7cm);</t>
  </si>
  <si>
    <t>capa para chuva em PVC com forro de poliéster, com capuz</t>
  </si>
  <si>
    <t>protetor auditivo tipo plug de inserção com cordão (atenuação superior a 15 DB).</t>
  </si>
  <si>
    <t>cinturão de segurança tipo paraquedista com fivela em aço, ajuste no suspensário, cintura e pernas</t>
  </si>
  <si>
    <t>óculos de segurança contra impactos com lente incolor, armação nylon, com proteção UVA e UVB</t>
  </si>
  <si>
    <t>bota de couro monodensidade</t>
  </si>
  <si>
    <t>bota depvc cano médio</t>
  </si>
  <si>
    <t>EPI'S
CATEGORIA PROFISSIONAL: SERVENTE, JARDINEIRO, AUXILIAR DE JARDINEIRO</t>
  </si>
  <si>
    <t>Vida Útil</t>
  </si>
  <si>
    <t>máquina de cortar grama</t>
  </si>
  <si>
    <t>máscara e bomba para aplicação de produtos químicos</t>
  </si>
  <si>
    <t>regadeira</t>
  </si>
  <si>
    <t>roçadeira a gasolina</t>
  </si>
  <si>
    <t>gadanho</t>
  </si>
  <si>
    <t>pazinha para adubagem</t>
  </si>
  <si>
    <t>enxada</t>
  </si>
  <si>
    <t>pá</t>
  </si>
  <si>
    <t>facão</t>
  </si>
  <si>
    <t>tesoura</t>
  </si>
  <si>
    <t>tesoura para poda</t>
  </si>
  <si>
    <t>carrinho de mão</t>
  </si>
  <si>
    <t>tela de proteção</t>
  </si>
  <si>
    <t>Extensão para máquinas de, no mínimo, 50 metros</t>
  </si>
  <si>
    <t>Protetores auriculares</t>
  </si>
  <si>
    <t>Protetores faciais</t>
  </si>
  <si>
    <t>pares de Caneleiras metálicas</t>
  </si>
  <si>
    <t>Aventais de PVC</t>
  </si>
  <si>
    <t>pares de Luvas de raspia</t>
  </si>
  <si>
    <t>Mantas de drenagem</t>
  </si>
  <si>
    <t>Lavadora de alta pressão</t>
  </si>
  <si>
    <t>Mangueira de irrigação</t>
  </si>
  <si>
    <t>Vida Útil (meses)</t>
  </si>
  <si>
    <t>Cinco Milhões, Quarenta e Um Mil, Cinquenta Reais e Setenta e Um Centavos.</t>
  </si>
  <si>
    <t>_______________________________________</t>
  </si>
  <si>
    <t>Fortaleza/CE, 01 de julho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</si>
</sst>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* #,##0.00_-;\-* #,##0.00_-;_-* \-??_-;_-@_-"/>
    <numFmt numFmtId="167" formatCode="dd/mm/yy"/>
    <numFmt numFmtId="168" formatCode="_-&quot;R$ &quot;* #,##0.00_-;&quot;-R$ &quot;* #,##0.00_-;_-&quot;R$ &quot;* \-??_-;_-@_-"/>
    <numFmt numFmtId="169" formatCode="#,##0.0"/>
    <numFmt numFmtId="170" formatCode="0.000"/>
  </numFmts>
  <fonts count="4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"/>
      <family val="2"/>
    </font>
    <font>
      <b/>
      <sz val="11"/>
      <color rgb="FFFFFFFF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3"/>
      <color rgb="FF000000"/>
      <name val="Calibri"/>
      <family val="2"/>
    </font>
    <font>
      <sz val="13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u/>
      <sz val="10"/>
      <color indexed="12"/>
      <name val="Calibri"/>
      <family val="2"/>
      <scheme val="minor"/>
    </font>
    <font>
      <u/>
      <sz val="10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rgb="FFFFFF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1FFF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19">
    <xf numFmtId="0" fontId="0" fillId="0" borderId="0"/>
    <xf numFmtId="166" fontId="17" fillId="0" borderId="0" applyBorder="0" applyProtection="0"/>
    <xf numFmtId="168" fontId="15" fillId="0" borderId="0" applyBorder="0" applyProtection="0"/>
    <xf numFmtId="9" fontId="17" fillId="0" borderId="0" applyBorder="0" applyProtection="0"/>
    <xf numFmtId="0" fontId="17" fillId="0" borderId="0"/>
    <xf numFmtId="165" fontId="2" fillId="0" borderId="0" applyBorder="0" applyProtection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0" fontId="17" fillId="0" borderId="0"/>
    <xf numFmtId="0" fontId="20" fillId="0" borderId="0"/>
    <xf numFmtId="43" fontId="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8" fontId="17" fillId="0" borderId="0" applyBorder="0" applyProtection="0"/>
  </cellStyleXfs>
  <cellXfs count="27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1" applyFont="1" applyBorder="1" applyAlignment="1" applyProtection="1">
      <alignment horizontal="center" vertical="center" wrapText="1"/>
    </xf>
    <xf numFmtId="166" fontId="5" fillId="0" borderId="1" xfId="1" applyFont="1" applyBorder="1" applyAlignment="1" applyProtection="1">
      <alignment horizontal="center" vertical="center" wrapText="1"/>
    </xf>
    <xf numFmtId="0" fontId="5" fillId="0" borderId="0" xfId="0" applyFont="1" applyAlignment="1">
      <alignment vertical="center"/>
    </xf>
    <xf numFmtId="10" fontId="3" fillId="0" borderId="1" xfId="3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5" borderId="1" xfId="3" applyNumberFormat="1" applyFont="1" applyFill="1" applyBorder="1" applyAlignment="1" applyProtection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0" fontId="3" fillId="0" borderId="0" xfId="3" applyNumberFormat="1" applyFont="1" applyBorder="1" applyAlignment="1" applyProtection="1"/>
    <xf numFmtId="166" fontId="3" fillId="0" borderId="0" xfId="0" applyNumberFormat="1" applyFont="1"/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6" fillId="0" borderId="3" xfId="3" applyNumberFormat="1" applyFont="1" applyBorder="1" applyAlignment="1" applyProtection="1">
      <alignment horizontal="center" vertical="center" wrapText="1"/>
    </xf>
    <xf numFmtId="166" fontId="3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3" fillId="0" borderId="1" xfId="1" applyFont="1" applyBorder="1" applyAlignment="1" applyProtection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6" fontId="7" fillId="0" borderId="1" xfId="1" applyFont="1" applyBorder="1" applyAlignment="1" applyProtection="1"/>
    <xf numFmtId="10" fontId="7" fillId="0" borderId="1" xfId="0" applyNumberFormat="1" applyFont="1" applyBorder="1"/>
    <xf numFmtId="166" fontId="9" fillId="0" borderId="1" xfId="0" applyNumberFormat="1" applyFont="1" applyBorder="1"/>
    <xf numFmtId="0" fontId="10" fillId="0" borderId="0" xfId="0" applyFont="1" applyAlignment="1">
      <alignment wrapText="1"/>
    </xf>
    <xf numFmtId="0" fontId="10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wrapText="1"/>
    </xf>
    <xf numFmtId="0" fontId="14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8" fontId="10" fillId="0" borderId="4" xfId="2" applyFont="1" applyBorder="1" applyAlignment="1" applyProtection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wrapText="1"/>
    </xf>
    <xf numFmtId="168" fontId="11" fillId="6" borderId="4" xfId="0" applyNumberFormat="1" applyFont="1" applyFill="1" applyBorder="1" applyAlignment="1">
      <alignment wrapText="1"/>
    </xf>
    <xf numFmtId="168" fontId="11" fillId="0" borderId="4" xfId="0" applyNumberFormat="1" applyFont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 vertical="center"/>
    </xf>
    <xf numFmtId="166" fontId="9" fillId="0" borderId="0" xfId="1" applyFont="1" applyBorder="1" applyAlignment="1" applyProtection="1">
      <alignment vertical="center"/>
    </xf>
    <xf numFmtId="0" fontId="9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4" fontId="9" fillId="6" borderId="4" xfId="0" applyNumberFormat="1" applyFont="1" applyFill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 wrapText="1"/>
    </xf>
    <xf numFmtId="169" fontId="7" fillId="0" borderId="4" xfId="0" applyNumberFormat="1" applyFont="1" applyBorder="1" applyAlignment="1">
      <alignment vertical="center"/>
    </xf>
    <xf numFmtId="166" fontId="7" fillId="0" borderId="4" xfId="1" applyFont="1" applyBorder="1" applyAlignment="1" applyProtection="1">
      <alignment vertical="center"/>
    </xf>
    <xf numFmtId="4" fontId="7" fillId="0" borderId="4" xfId="0" applyNumberFormat="1" applyFont="1" applyBorder="1" applyAlignment="1">
      <alignment horizontal="right" vertical="center"/>
    </xf>
    <xf numFmtId="169" fontId="9" fillId="0" borderId="4" xfId="0" applyNumberFormat="1" applyFont="1" applyBorder="1" applyAlignment="1">
      <alignment vertical="center"/>
    </xf>
    <xf numFmtId="166" fontId="7" fillId="0" borderId="4" xfId="0" applyNumberFormat="1" applyFont="1" applyBorder="1" applyAlignment="1">
      <alignment vertical="center"/>
    </xf>
    <xf numFmtId="4" fontId="7" fillId="0" borderId="4" xfId="1" applyNumberFormat="1" applyFont="1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4" fontId="10" fillId="0" borderId="0" xfId="0" applyNumberFormat="1" applyFont="1" applyAlignment="1"/>
    <xf numFmtId="4" fontId="10" fillId="0" borderId="0" xfId="0" applyNumberFormat="1" applyFont="1" applyAlignment="1">
      <alignment horizontal="right"/>
    </xf>
    <xf numFmtId="4" fontId="7" fillId="0" borderId="0" xfId="0" applyNumberFormat="1" applyFont="1"/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/>
    <xf numFmtId="10" fontId="5" fillId="0" borderId="3" xfId="0" applyNumberFormat="1" applyFont="1" applyBorder="1" applyAlignment="1">
      <alignment horizontal="center" vertical="center" wrapText="1"/>
    </xf>
    <xf numFmtId="0" fontId="19" fillId="0" borderId="0" xfId="13" applyFont="1" applyFill="1" applyBorder="1" applyAlignment="1">
      <alignment horizontal="center" vertical="center"/>
    </xf>
    <xf numFmtId="0" fontId="21" fillId="0" borderId="0" xfId="14" applyFont="1" applyFill="1" applyAlignment="1">
      <alignment vertical="center"/>
    </xf>
    <xf numFmtId="43" fontId="21" fillId="0" borderId="0" xfId="15" applyFont="1" applyFill="1" applyAlignment="1">
      <alignment vertical="center"/>
    </xf>
    <xf numFmtId="0" fontId="22" fillId="0" borderId="0" xfId="14" applyFont="1" applyFill="1" applyAlignment="1">
      <alignment vertical="center"/>
    </xf>
    <xf numFmtId="0" fontId="22" fillId="0" borderId="0" xfId="14" applyFont="1" applyAlignment="1">
      <alignment vertical="center"/>
    </xf>
    <xf numFmtId="0" fontId="22" fillId="0" borderId="0" xfId="13" applyFont="1" applyFill="1" applyBorder="1" applyAlignment="1">
      <alignment horizontal="center" vertical="center"/>
    </xf>
    <xf numFmtId="0" fontId="23" fillId="0" borderId="0" xfId="13" applyFont="1" applyFill="1" applyBorder="1" applyAlignment="1">
      <alignment horizontal="center" vertical="center"/>
    </xf>
    <xf numFmtId="0" fontId="21" fillId="0" borderId="0" xfId="14" applyFont="1" applyAlignment="1">
      <alignment vertical="center"/>
    </xf>
    <xf numFmtId="0" fontId="24" fillId="0" borderId="0" xfId="13" applyFont="1" applyBorder="1" applyAlignment="1">
      <alignment vertical="center"/>
    </xf>
    <xf numFmtId="0" fontId="25" fillId="0" borderId="0" xfId="13" applyFont="1" applyFill="1" applyAlignment="1">
      <alignment vertical="center"/>
    </xf>
    <xf numFmtId="0" fontId="25" fillId="0" borderId="0" xfId="13" applyFont="1" applyAlignment="1">
      <alignment vertical="center"/>
    </xf>
    <xf numFmtId="0" fontId="27" fillId="0" borderId="0" xfId="13" applyFont="1" applyFill="1" applyAlignment="1">
      <alignment vertical="center"/>
    </xf>
    <xf numFmtId="0" fontId="27" fillId="0" borderId="0" xfId="13" applyFont="1" applyAlignment="1">
      <alignment vertical="center"/>
    </xf>
    <xf numFmtId="0" fontId="28" fillId="0" borderId="0" xfId="14" applyFont="1" applyFill="1" applyBorder="1" applyAlignment="1">
      <alignment horizontal="left" vertical="center" wrapText="1"/>
    </xf>
    <xf numFmtId="0" fontId="21" fillId="0" borderId="0" xfId="13" applyFont="1" applyFill="1" applyAlignment="1">
      <alignment vertical="center"/>
    </xf>
    <xf numFmtId="0" fontId="29" fillId="0" borderId="0" xfId="13" applyFont="1" applyAlignment="1">
      <alignment vertical="center"/>
    </xf>
    <xf numFmtId="0" fontId="28" fillId="0" borderId="12" xfId="14" applyFont="1" applyBorder="1" applyAlignment="1">
      <alignment horizontal="left" vertical="center" wrapText="1"/>
    </xf>
    <xf numFmtId="0" fontId="32" fillId="0" borderId="0" xfId="16" applyFont="1" applyFill="1" applyBorder="1" applyAlignment="1" applyProtection="1">
      <alignment horizontal="left" vertical="center" wrapText="1"/>
    </xf>
    <xf numFmtId="0" fontId="28" fillId="0" borderId="0" xfId="14" applyFont="1" applyFill="1" applyBorder="1" applyAlignment="1">
      <alignment horizontal="center" vertical="center" wrapText="1"/>
    </xf>
    <xf numFmtId="0" fontId="21" fillId="0" borderId="0" xfId="13" applyFont="1" applyAlignment="1">
      <alignment vertical="center"/>
    </xf>
    <xf numFmtId="0" fontId="28" fillId="0" borderId="0" xfId="13" applyFont="1" applyFill="1" applyBorder="1" applyAlignment="1">
      <alignment horizontal="center" vertical="center" wrapText="1"/>
    </xf>
    <xf numFmtId="0" fontId="21" fillId="0" borderId="0" xfId="13" applyNumberFormat="1" applyFont="1" applyFill="1" applyBorder="1" applyAlignment="1">
      <alignment horizontal="justify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34" fillId="0" borderId="0" xfId="13" applyFont="1" applyFill="1" applyAlignment="1">
      <alignment vertical="center"/>
    </xf>
    <xf numFmtId="0" fontId="35" fillId="0" borderId="0" xfId="13" applyFont="1" applyFill="1" applyAlignment="1">
      <alignment vertical="center"/>
    </xf>
    <xf numFmtId="43" fontId="35" fillId="0" borderId="0" xfId="15" applyFont="1" applyFill="1" applyAlignment="1">
      <alignment vertical="center"/>
    </xf>
    <xf numFmtId="0" fontId="36" fillId="0" borderId="0" xfId="13" applyFont="1" applyFill="1" applyAlignment="1">
      <alignment vertical="center"/>
    </xf>
    <xf numFmtId="0" fontId="36" fillId="0" borderId="0" xfId="13" applyFont="1" applyAlignment="1">
      <alignment vertical="center"/>
    </xf>
    <xf numFmtId="49" fontId="21" fillId="0" borderId="12" xfId="13" applyNumberFormat="1" applyFont="1" applyFill="1" applyBorder="1" applyAlignment="1">
      <alignment horizontal="center" vertical="center"/>
    </xf>
    <xf numFmtId="0" fontId="36" fillId="10" borderId="0" xfId="13" applyFont="1" applyFill="1" applyAlignment="1">
      <alignment vertical="center"/>
    </xf>
    <xf numFmtId="0" fontId="36" fillId="11" borderId="0" xfId="13" applyFont="1" applyFill="1" applyAlignment="1">
      <alignment vertical="center"/>
    </xf>
    <xf numFmtId="0" fontId="36" fillId="12" borderId="0" xfId="13" applyFont="1" applyFill="1" applyAlignment="1">
      <alignment vertical="center"/>
    </xf>
    <xf numFmtId="0" fontId="21" fillId="0" borderId="0" xfId="14" applyFont="1" applyFill="1" applyAlignment="1">
      <alignment horizontal="justify" vertical="center" wrapText="1"/>
    </xf>
    <xf numFmtId="43" fontId="21" fillId="0" borderId="0" xfId="15" applyFont="1" applyFill="1" applyBorder="1" applyAlignment="1">
      <alignment vertical="center"/>
    </xf>
    <xf numFmtId="0" fontId="21" fillId="0" borderId="0" xfId="14" applyFont="1" applyFill="1" applyBorder="1" applyAlignment="1">
      <alignment vertical="center"/>
    </xf>
    <xf numFmtId="0" fontId="21" fillId="0" borderId="0" xfId="14" applyFont="1" applyFill="1" applyAlignment="1">
      <alignment horizontal="left" vertical="center" wrapText="1"/>
    </xf>
    <xf numFmtId="0" fontId="39" fillId="0" borderId="0" xfId="14" applyFont="1" applyFill="1" applyBorder="1" applyAlignment="1">
      <alignment vertical="center" wrapText="1"/>
    </xf>
    <xf numFmtId="0" fontId="39" fillId="0" borderId="0" xfId="14" applyFont="1" applyFill="1" applyAlignment="1">
      <alignment horizontal="justify" vertical="center" wrapText="1"/>
    </xf>
    <xf numFmtId="0" fontId="21" fillId="0" borderId="0" xfId="14" applyFont="1" applyFill="1" applyBorder="1" applyAlignment="1">
      <alignment horizontal="center" vertical="center"/>
    </xf>
    <xf numFmtId="0" fontId="21" fillId="0" borderId="0" xfId="14" applyFont="1" applyFill="1" applyAlignment="1">
      <alignment horizontal="center" vertical="center"/>
    </xf>
    <xf numFmtId="0" fontId="28" fillId="0" borderId="0" xfId="14" applyFont="1" applyFill="1" applyBorder="1" applyAlignment="1">
      <alignment horizontal="center" vertical="center"/>
    </xf>
    <xf numFmtId="0" fontId="21" fillId="0" borderId="12" xfId="14" applyFont="1" applyBorder="1" applyAlignment="1">
      <alignment horizontal="left" vertical="center" wrapText="1"/>
    </xf>
    <xf numFmtId="0" fontId="28" fillId="0" borderId="9" xfId="14" applyFont="1" applyBorder="1" applyAlignment="1">
      <alignment horizontal="left" vertical="center" wrapText="1"/>
    </xf>
    <xf numFmtId="0" fontId="21" fillId="0" borderId="0" xfId="14" applyFont="1" applyBorder="1" applyAlignment="1">
      <alignment horizontal="center" vertical="center" wrapText="1"/>
    </xf>
    <xf numFmtId="0" fontId="38" fillId="0" borderId="0" xfId="14" applyFont="1" applyFill="1" applyBorder="1" applyAlignment="1">
      <alignment horizontal="left" vertical="center"/>
    </xf>
    <xf numFmtId="0" fontId="21" fillId="0" borderId="0" xfId="14" applyFont="1" applyAlignment="1">
      <alignment horizontal="left" vertical="center" wrapText="1"/>
    </xf>
    <xf numFmtId="0" fontId="21" fillId="0" borderId="0" xfId="14" applyFont="1" applyFill="1" applyAlignment="1">
      <alignment horizontal="left" vertical="center"/>
    </xf>
    <xf numFmtId="43" fontId="21" fillId="0" borderId="0" xfId="15" applyFont="1" applyFill="1" applyAlignment="1">
      <alignment horizontal="left" vertical="center"/>
    </xf>
    <xf numFmtId="0" fontId="21" fillId="0" borderId="0" xfId="14" applyFont="1" applyAlignment="1">
      <alignment horizontal="left" vertical="center"/>
    </xf>
    <xf numFmtId="164" fontId="0" fillId="0" borderId="0" xfId="0" applyNumberFormat="1"/>
    <xf numFmtId="164" fontId="28" fillId="7" borderId="12" xfId="13" applyNumberFormat="1" applyFont="1" applyFill="1" applyBorder="1" applyAlignment="1">
      <alignment horizontal="center" vertical="center" wrapText="1"/>
    </xf>
    <xf numFmtId="164" fontId="21" fillId="0" borderId="12" xfId="13" applyNumberFormat="1" applyFont="1" applyFill="1" applyBorder="1" applyAlignment="1">
      <alignment vertical="center" wrapText="1"/>
    </xf>
    <xf numFmtId="164" fontId="28" fillId="13" borderId="12" xfId="13" applyNumberFormat="1" applyFont="1" applyFill="1" applyBorder="1" applyAlignment="1">
      <alignment vertical="center" wrapText="1"/>
    </xf>
    <xf numFmtId="43" fontId="10" fillId="0" borderId="0" xfId="0" applyNumberFormat="1" applyFont="1" applyAlignment="1"/>
    <xf numFmtId="0" fontId="10" fillId="0" borderId="5" xfId="0" applyFont="1" applyBorder="1" applyAlignment="1">
      <alignment horizontal="justify" vertical="center" wrapText="1"/>
    </xf>
    <xf numFmtId="168" fontId="10" fillId="0" borderId="4" xfId="2" applyFont="1" applyFill="1" applyBorder="1" applyAlignment="1" applyProtection="1">
      <alignment vertical="center" wrapText="1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/>
    <xf numFmtId="166" fontId="7" fillId="0" borderId="1" xfId="1" applyFont="1" applyFill="1" applyBorder="1" applyAlignment="1" applyProtection="1"/>
    <xf numFmtId="4" fontId="40" fillId="0" borderId="0" xfId="0" applyNumberFormat="1" applyFont="1" applyAlignment="1">
      <alignment horizontal="right" vertical="center"/>
    </xf>
    <xf numFmtId="10" fontId="40" fillId="0" borderId="0" xfId="0" applyNumberFormat="1" applyFont="1" applyAlignment="1">
      <alignment horizontal="center"/>
    </xf>
    <xf numFmtId="166" fontId="41" fillId="0" borderId="14" xfId="1" applyFont="1" applyFill="1" applyBorder="1" applyAlignment="1">
      <alignment horizontal="center" vertical="center" wrapText="1"/>
    </xf>
    <xf numFmtId="170" fontId="3" fillId="0" borderId="0" xfId="0" applyNumberFormat="1" applyFont="1"/>
    <xf numFmtId="0" fontId="41" fillId="0" borderId="0" xfId="0" applyFont="1" applyFill="1" applyBorder="1" applyAlignment="1">
      <alignment horizontal="left" vertical="top"/>
    </xf>
    <xf numFmtId="0" fontId="41" fillId="0" borderId="15" xfId="0" applyFont="1" applyFill="1" applyBorder="1" applyAlignment="1">
      <alignment horizontal="left" vertical="top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left" vertical="top"/>
    </xf>
    <xf numFmtId="0" fontId="41" fillId="14" borderId="4" xfId="0" applyFont="1" applyFill="1" applyBorder="1" applyAlignment="1">
      <alignment horizontal="left" vertical="top"/>
    </xf>
    <xf numFmtId="0" fontId="42" fillId="14" borderId="4" xfId="0" applyFont="1" applyFill="1" applyBorder="1" applyAlignment="1">
      <alignment horizontal="left" vertical="top"/>
    </xf>
    <xf numFmtId="0" fontId="10" fillId="0" borderId="4" xfId="2" applyNumberFormat="1" applyFont="1" applyBorder="1" applyAlignment="1" applyProtection="1">
      <alignment horizontal="center" vertical="center" wrapText="1"/>
    </xf>
    <xf numFmtId="0" fontId="10" fillId="0" borderId="4" xfId="2" applyNumberFormat="1" applyFont="1" applyFill="1" applyBorder="1" applyAlignment="1" applyProtection="1">
      <alignment horizontal="center" vertical="center" wrapText="1"/>
    </xf>
    <xf numFmtId="43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43" fillId="0" borderId="0" xfId="0" applyNumberFormat="1" applyFont="1" applyAlignment="1">
      <alignment horizontal="left" vertical="center"/>
    </xf>
    <xf numFmtId="166" fontId="17" fillId="0" borderId="0" xfId="1"/>
    <xf numFmtId="10" fontId="3" fillId="0" borderId="1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wrapText="1"/>
    </xf>
    <xf numFmtId="43" fontId="0" fillId="0" borderId="0" xfId="0" applyNumberFormat="1"/>
    <xf numFmtId="10" fontId="17" fillId="0" borderId="0" xfId="3" applyNumberFormat="1"/>
    <xf numFmtId="43" fontId="3" fillId="0" borderId="0" xfId="0" applyNumberFormat="1" applyFont="1"/>
    <xf numFmtId="0" fontId="21" fillId="0" borderId="0" xfId="14" applyFont="1" applyAlignment="1">
      <alignment horizontal="justify" vertical="center" wrapText="1"/>
    </xf>
    <xf numFmtId="0" fontId="28" fillId="0" borderId="0" xfId="14" applyFont="1" applyAlignment="1">
      <alignment horizontal="justify" vertical="center" wrapText="1"/>
    </xf>
    <xf numFmtId="0" fontId="28" fillId="0" borderId="0" xfId="14" applyFont="1" applyAlignment="1">
      <alignment horizontal="left" vertical="center" wrapText="1"/>
    </xf>
    <xf numFmtId="0" fontId="21" fillId="0" borderId="0" xfId="14" applyFont="1" applyAlignment="1">
      <alignment horizontal="left" vertical="center" wrapText="1"/>
    </xf>
    <xf numFmtId="49" fontId="28" fillId="0" borderId="9" xfId="13" applyNumberFormat="1" applyFont="1" applyFill="1" applyBorder="1" applyAlignment="1">
      <alignment horizontal="center" vertical="center"/>
    </xf>
    <xf numFmtId="49" fontId="28" fillId="0" borderId="10" xfId="13" applyNumberFormat="1" applyFont="1" applyFill="1" applyBorder="1" applyAlignment="1">
      <alignment horizontal="center" vertical="center"/>
    </xf>
    <xf numFmtId="49" fontId="28" fillId="0" borderId="11" xfId="13" applyNumberFormat="1" applyFont="1" applyFill="1" applyBorder="1" applyAlignment="1">
      <alignment horizontal="center" vertical="center"/>
    </xf>
    <xf numFmtId="0" fontId="21" fillId="0" borderId="9" xfId="13" applyFont="1" applyFill="1" applyBorder="1" applyAlignment="1">
      <alignment horizontal="left" vertical="center" wrapText="1"/>
    </xf>
    <xf numFmtId="0" fontId="21" fillId="0" borderId="10" xfId="13" applyFont="1" applyFill="1" applyBorder="1" applyAlignment="1">
      <alignment horizontal="left" vertical="center" wrapText="1"/>
    </xf>
    <xf numFmtId="0" fontId="28" fillId="0" borderId="13" xfId="14" applyFont="1" applyBorder="1" applyAlignment="1">
      <alignment horizontal="center" vertical="center" wrapText="1"/>
    </xf>
    <xf numFmtId="0" fontId="28" fillId="9" borderId="12" xfId="13" applyFont="1" applyFill="1" applyBorder="1" applyAlignment="1">
      <alignment horizontal="center" vertical="center" wrapText="1"/>
    </xf>
    <xf numFmtId="0" fontId="21" fillId="0" borderId="12" xfId="13" applyNumberFormat="1" applyFont="1" applyBorder="1" applyAlignment="1">
      <alignment horizontal="justify" vertical="center" wrapText="1"/>
    </xf>
    <xf numFmtId="0" fontId="28" fillId="7" borderId="12" xfId="13" applyFont="1" applyFill="1" applyBorder="1" applyAlignment="1">
      <alignment horizontal="center" vertical="center" wrapText="1"/>
    </xf>
    <xf numFmtId="49" fontId="21" fillId="0" borderId="9" xfId="13" applyNumberFormat="1" applyFont="1" applyFill="1" applyBorder="1" applyAlignment="1">
      <alignment horizontal="center" vertical="center"/>
    </xf>
    <xf numFmtId="49" fontId="21" fillId="0" borderId="10" xfId="13" applyNumberFormat="1" applyFont="1" applyFill="1" applyBorder="1" applyAlignment="1">
      <alignment horizontal="center" vertical="center"/>
    </xf>
    <xf numFmtId="49" fontId="21" fillId="0" borderId="11" xfId="13" applyNumberFormat="1" applyFont="1" applyFill="1" applyBorder="1" applyAlignment="1">
      <alignment horizontal="center" vertical="center"/>
    </xf>
    <xf numFmtId="0" fontId="37" fillId="8" borderId="9" xfId="13" applyFont="1" applyFill="1" applyBorder="1" applyAlignment="1">
      <alignment horizontal="center" vertical="center"/>
    </xf>
    <xf numFmtId="0" fontId="37" fillId="8" borderId="10" xfId="13" applyFont="1" applyFill="1" applyBorder="1" applyAlignment="1">
      <alignment horizontal="center" vertical="center"/>
    </xf>
    <xf numFmtId="0" fontId="37" fillId="8" borderId="11" xfId="13" applyFont="1" applyFill="1" applyBorder="1" applyAlignment="1">
      <alignment horizontal="center" vertical="center"/>
    </xf>
    <xf numFmtId="0" fontId="28" fillId="0" borderId="9" xfId="14" applyFont="1" applyBorder="1" applyAlignment="1">
      <alignment horizontal="left" vertical="center" wrapText="1"/>
    </xf>
    <xf numFmtId="0" fontId="28" fillId="0" borderId="11" xfId="14" applyFont="1" applyBorder="1" applyAlignment="1">
      <alignment horizontal="left" vertical="center" wrapText="1"/>
    </xf>
    <xf numFmtId="0" fontId="31" fillId="0" borderId="9" xfId="16" applyFont="1" applyBorder="1" applyAlignment="1" applyProtection="1">
      <alignment horizontal="left" vertical="center" wrapText="1"/>
    </xf>
    <xf numFmtId="0" fontId="31" fillId="0" borderId="10" xfId="16" applyFont="1" applyBorder="1" applyAlignment="1" applyProtection="1">
      <alignment horizontal="left" vertical="center" wrapText="1"/>
    </xf>
    <xf numFmtId="0" fontId="31" fillId="0" borderId="11" xfId="16" applyFont="1" applyBorder="1" applyAlignment="1" applyProtection="1">
      <alignment horizontal="left" vertical="center" wrapText="1"/>
    </xf>
    <xf numFmtId="0" fontId="28" fillId="8" borderId="9" xfId="14" applyFont="1" applyFill="1" applyBorder="1" applyAlignment="1">
      <alignment horizontal="left" vertical="center" wrapText="1"/>
    </xf>
    <xf numFmtId="0" fontId="28" fillId="8" borderId="10" xfId="14" applyFont="1" applyFill="1" applyBorder="1" applyAlignment="1">
      <alignment horizontal="left" vertical="center" wrapText="1"/>
    </xf>
    <xf numFmtId="0" fontId="28" fillId="8" borderId="11" xfId="14" applyFont="1" applyFill="1" applyBorder="1" applyAlignment="1">
      <alignment horizontal="left" vertical="center" wrapText="1"/>
    </xf>
    <xf numFmtId="0" fontId="21" fillId="0" borderId="10" xfId="14" applyFont="1" applyBorder="1" applyAlignment="1">
      <alignment horizontal="center" vertical="center" wrapText="1"/>
    </xf>
    <xf numFmtId="0" fontId="21" fillId="0" borderId="11" xfId="14" applyFont="1" applyBorder="1" applyAlignment="1">
      <alignment horizontal="center" vertical="center" wrapText="1"/>
    </xf>
    <xf numFmtId="0" fontId="28" fillId="0" borderId="10" xfId="14" applyFont="1" applyBorder="1" applyAlignment="1">
      <alignment horizontal="left" vertical="center" wrapText="1"/>
    </xf>
    <xf numFmtId="0" fontId="21" fillId="0" borderId="9" xfId="14" applyFont="1" applyBorder="1" applyAlignment="1">
      <alignment horizontal="left" vertical="center" wrapText="1"/>
    </xf>
    <xf numFmtId="0" fontId="21" fillId="0" borderId="10" xfId="14" applyFont="1" applyBorder="1" applyAlignment="1">
      <alignment horizontal="left" vertical="center" wrapText="1"/>
    </xf>
    <xf numFmtId="0" fontId="21" fillId="0" borderId="11" xfId="14" applyFont="1" applyBorder="1" applyAlignment="1">
      <alignment horizontal="left" vertical="center" wrapText="1"/>
    </xf>
    <xf numFmtId="1" fontId="21" fillId="0" borderId="9" xfId="14" applyNumberFormat="1" applyFont="1" applyBorder="1" applyAlignment="1">
      <alignment horizontal="left" vertical="center" wrapText="1"/>
    </xf>
    <xf numFmtId="1" fontId="21" fillId="0" borderId="10" xfId="14" applyNumberFormat="1" applyFont="1" applyBorder="1" applyAlignment="1">
      <alignment horizontal="left" vertical="center" wrapText="1"/>
    </xf>
    <xf numFmtId="1" fontId="21" fillId="0" borderId="11" xfId="14" applyNumberFormat="1" applyFont="1" applyBorder="1" applyAlignment="1">
      <alignment horizontal="left" vertical="center" wrapText="1"/>
    </xf>
    <xf numFmtId="0" fontId="32" fillId="0" borderId="12" xfId="16" applyFont="1" applyBorder="1" applyAlignment="1" applyProtection="1">
      <alignment horizontal="left" vertical="center" wrapText="1"/>
    </xf>
    <xf numFmtId="0" fontId="24" fillId="7" borderId="0" xfId="13" applyFont="1" applyFill="1" applyBorder="1" applyAlignment="1">
      <alignment horizontal="center" vertical="center"/>
    </xf>
    <xf numFmtId="0" fontId="26" fillId="0" borderId="0" xfId="13" applyFont="1" applyBorder="1" applyAlignment="1">
      <alignment horizontal="center" vertical="center"/>
    </xf>
    <xf numFmtId="0" fontId="21" fillId="0" borderId="12" xfId="14" applyFont="1" applyBorder="1" applyAlignment="1">
      <alignment horizontal="left" vertical="center" wrapText="1"/>
    </xf>
    <xf numFmtId="0" fontId="23" fillId="0" borderId="0" xfId="13" applyFont="1" applyBorder="1" applyAlignment="1">
      <alignment horizontal="center" vertical="center"/>
    </xf>
    <xf numFmtId="0" fontId="19" fillId="0" borderId="0" xfId="13" applyFont="1" applyBorder="1" applyAlignment="1">
      <alignment horizontal="center" vertical="center"/>
    </xf>
    <xf numFmtId="0" fontId="19" fillId="0" borderId="0" xfId="13" applyFont="1" applyBorder="1" applyAlignment="1">
      <alignment horizontal="center" vertical="center" wrapText="1"/>
    </xf>
    <xf numFmtId="0" fontId="22" fillId="0" borderId="0" xfId="13" applyFont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wrapText="1"/>
    </xf>
    <xf numFmtId="0" fontId="12" fillId="6" borderId="6" xfId="0" applyFont="1" applyFill="1" applyBorder="1" applyAlignment="1">
      <alignment horizontal="center" vertical="top" wrapText="1"/>
    </xf>
    <xf numFmtId="0" fontId="12" fillId="6" borderId="7" xfId="0" applyFont="1" applyFill="1" applyBorder="1" applyAlignment="1">
      <alignment horizontal="center" vertical="top" wrapText="1"/>
    </xf>
    <xf numFmtId="0" fontId="12" fillId="6" borderId="8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top" wrapText="1"/>
    </xf>
    <xf numFmtId="0" fontId="11" fillId="6" borderId="4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right" vertical="center" wrapText="1"/>
    </xf>
    <xf numFmtId="0" fontId="11" fillId="6" borderId="7" xfId="0" applyFont="1" applyFill="1" applyBorder="1" applyAlignment="1">
      <alignment horizontal="right" vertical="center" wrapText="1"/>
    </xf>
    <xf numFmtId="0" fontId="11" fillId="6" borderId="8" xfId="0" applyFont="1" applyFill="1" applyBorder="1" applyAlignment="1">
      <alignment horizontal="right" vertical="center" wrapText="1"/>
    </xf>
    <xf numFmtId="0" fontId="11" fillId="6" borderId="16" xfId="0" applyFont="1" applyFill="1" applyBorder="1" applyAlignment="1">
      <alignment horizontal="right" vertical="center" wrapText="1"/>
    </xf>
    <xf numFmtId="0" fontId="11" fillId="6" borderId="0" xfId="0" applyFont="1" applyFill="1" applyBorder="1" applyAlignment="1">
      <alignment horizontal="right" vertical="center" wrapText="1"/>
    </xf>
    <xf numFmtId="0" fontId="11" fillId="6" borderId="17" xfId="0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</cellXfs>
  <cellStyles count="19">
    <cellStyle name="Hiperlink" xfId="16" builtinId="8"/>
    <cellStyle name="Moeda" xfId="2" builtinId="4"/>
    <cellStyle name="Moeda 2" xfId="18"/>
    <cellStyle name="Normal" xfId="0" builtinId="0"/>
    <cellStyle name="Normal 2" xfId="4"/>
    <cellStyle name="Normal 2 2" xfId="13"/>
    <cellStyle name="Normal 2 2 2" xfId="14"/>
    <cellStyle name="Porcentagem" xfId="3" builtinId="5"/>
    <cellStyle name="Porcentagem 2" xfId="17"/>
    <cellStyle name="Vírgula" xfId="1" builtinId="3"/>
    <cellStyle name="Vírgula 2" xfId="5"/>
    <cellStyle name="Vírgula 3" xfId="6"/>
    <cellStyle name="Vírgula 3 2" xfId="7"/>
    <cellStyle name="Vírgula 4" xfId="8"/>
    <cellStyle name="Vírgula 4 2" xfId="9"/>
    <cellStyle name="Vírgula 5" xfId="10"/>
    <cellStyle name="Vírgula 5 2" xfId="11"/>
    <cellStyle name="Vírgula 6" xfId="12"/>
    <cellStyle name="Vírgula 7" xfId="1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ECFF"/>
      <color rgb="FFC1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1714501</xdr:colOff>
      <xdr:row>1</xdr:row>
      <xdr:rowOff>152400</xdr:rowOff>
    </xdr:from>
    <xdr:to>
      <xdr:col>4</xdr:col>
      <xdr:colOff>238126</xdr:colOff>
      <xdr:row>8</xdr:row>
      <xdr:rowOff>43565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1" y="342900"/>
          <a:ext cx="3219450" cy="122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el@delservicos.com.br" TargetMode="External"/><Relationship Id="rId1" Type="http://schemas.openxmlformats.org/officeDocument/2006/relationships/hyperlink" Target="mailto:del@delservicos.com.br" TargetMode="Externa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1FFF3"/>
  </sheetPr>
  <dimension ref="A1:IH63"/>
  <sheetViews>
    <sheetView view="pageBreakPreview" zoomScaleSheetLayoutView="100" workbookViewId="0">
      <selection sqref="A1:G1"/>
    </sheetView>
  </sheetViews>
  <sheetFormatPr defaultRowHeight="12.75" x14ac:dyDescent="0.25"/>
  <cols>
    <col min="1" max="1" width="6.5703125" style="91" customWidth="1"/>
    <col min="2" max="2" width="31.7109375" style="91" customWidth="1"/>
    <col min="3" max="3" width="10.5703125" style="91" customWidth="1"/>
    <col min="4" max="4" width="10" style="91" customWidth="1"/>
    <col min="5" max="5" width="13.28515625" style="91" customWidth="1"/>
    <col min="6" max="6" width="13.85546875" style="91" customWidth="1"/>
    <col min="7" max="7" width="20.28515625" style="91" customWidth="1"/>
    <col min="8" max="9" width="12.85546875" style="85" customWidth="1"/>
    <col min="10" max="10" width="9.85546875" style="85" customWidth="1"/>
    <col min="11" max="11" width="12.140625" style="85" customWidth="1"/>
    <col min="12" max="12" width="10.42578125" style="86" customWidth="1"/>
    <col min="13" max="13" width="6.140625" style="85" customWidth="1"/>
    <col min="14" max="14" width="9.140625" style="85"/>
    <col min="15" max="15" width="3" style="85" customWidth="1"/>
    <col min="16" max="17" width="9.140625" style="85"/>
    <col min="18" max="238" width="9.140625" style="91"/>
    <col min="239" max="239" width="7.5703125" style="91" customWidth="1"/>
    <col min="240" max="240" width="15.5703125" style="91" customWidth="1"/>
    <col min="241" max="241" width="34.85546875" style="91" customWidth="1"/>
    <col min="242" max="242" width="13.5703125" style="91" customWidth="1"/>
    <col min="243" max="243" width="9.42578125" style="91" customWidth="1"/>
    <col min="244" max="244" width="19" style="91" customWidth="1"/>
    <col min="245" max="245" width="22.7109375" style="91" customWidth="1"/>
    <col min="246" max="494" width="9.140625" style="91"/>
    <col min="495" max="495" width="7.5703125" style="91" customWidth="1"/>
    <col min="496" max="496" width="15.5703125" style="91" customWidth="1"/>
    <col min="497" max="497" width="34.85546875" style="91" customWidth="1"/>
    <col min="498" max="498" width="13.5703125" style="91" customWidth="1"/>
    <col min="499" max="499" width="9.42578125" style="91" customWidth="1"/>
    <col min="500" max="500" width="19" style="91" customWidth="1"/>
    <col min="501" max="501" width="22.7109375" style="91" customWidth="1"/>
    <col min="502" max="750" width="9.140625" style="91"/>
    <col min="751" max="751" width="7.5703125" style="91" customWidth="1"/>
    <col min="752" max="752" width="15.5703125" style="91" customWidth="1"/>
    <col min="753" max="753" width="34.85546875" style="91" customWidth="1"/>
    <col min="754" max="754" width="13.5703125" style="91" customWidth="1"/>
    <col min="755" max="755" width="9.42578125" style="91" customWidth="1"/>
    <col min="756" max="756" width="19" style="91" customWidth="1"/>
    <col min="757" max="757" width="22.7109375" style="91" customWidth="1"/>
    <col min="758" max="1006" width="9.140625" style="91"/>
    <col min="1007" max="1007" width="7.5703125" style="91" customWidth="1"/>
    <col min="1008" max="1008" width="15.5703125" style="91" customWidth="1"/>
    <col min="1009" max="1009" width="34.85546875" style="91" customWidth="1"/>
    <col min="1010" max="1010" width="13.5703125" style="91" customWidth="1"/>
    <col min="1011" max="1011" width="9.42578125" style="91" customWidth="1"/>
    <col min="1012" max="1012" width="19" style="91" customWidth="1"/>
    <col min="1013" max="1013" width="22.7109375" style="91" customWidth="1"/>
    <col min="1014" max="1262" width="9.140625" style="91"/>
    <col min="1263" max="1263" width="7.5703125" style="91" customWidth="1"/>
    <col min="1264" max="1264" width="15.5703125" style="91" customWidth="1"/>
    <col min="1265" max="1265" width="34.85546875" style="91" customWidth="1"/>
    <col min="1266" max="1266" width="13.5703125" style="91" customWidth="1"/>
    <col min="1267" max="1267" width="9.42578125" style="91" customWidth="1"/>
    <col min="1268" max="1268" width="19" style="91" customWidth="1"/>
    <col min="1269" max="1269" width="22.7109375" style="91" customWidth="1"/>
    <col min="1270" max="1518" width="9.140625" style="91"/>
    <col min="1519" max="1519" width="7.5703125" style="91" customWidth="1"/>
    <col min="1520" max="1520" width="15.5703125" style="91" customWidth="1"/>
    <col min="1521" max="1521" width="34.85546875" style="91" customWidth="1"/>
    <col min="1522" max="1522" width="13.5703125" style="91" customWidth="1"/>
    <col min="1523" max="1523" width="9.42578125" style="91" customWidth="1"/>
    <col min="1524" max="1524" width="19" style="91" customWidth="1"/>
    <col min="1525" max="1525" width="22.7109375" style="91" customWidth="1"/>
    <col min="1526" max="1774" width="9.140625" style="91"/>
    <col min="1775" max="1775" width="7.5703125" style="91" customWidth="1"/>
    <col min="1776" max="1776" width="15.5703125" style="91" customWidth="1"/>
    <col min="1777" max="1777" width="34.85546875" style="91" customWidth="1"/>
    <col min="1778" max="1778" width="13.5703125" style="91" customWidth="1"/>
    <col min="1779" max="1779" width="9.42578125" style="91" customWidth="1"/>
    <col min="1780" max="1780" width="19" style="91" customWidth="1"/>
    <col min="1781" max="1781" width="22.7109375" style="91" customWidth="1"/>
    <col min="1782" max="2030" width="9.140625" style="91"/>
    <col min="2031" max="2031" width="7.5703125" style="91" customWidth="1"/>
    <col min="2032" max="2032" width="15.5703125" style="91" customWidth="1"/>
    <col min="2033" max="2033" width="34.85546875" style="91" customWidth="1"/>
    <col min="2034" max="2034" width="13.5703125" style="91" customWidth="1"/>
    <col min="2035" max="2035" width="9.42578125" style="91" customWidth="1"/>
    <col min="2036" max="2036" width="19" style="91" customWidth="1"/>
    <col min="2037" max="2037" width="22.7109375" style="91" customWidth="1"/>
    <col min="2038" max="2286" width="9.140625" style="91"/>
    <col min="2287" max="2287" width="7.5703125" style="91" customWidth="1"/>
    <col min="2288" max="2288" width="15.5703125" style="91" customWidth="1"/>
    <col min="2289" max="2289" width="34.85546875" style="91" customWidth="1"/>
    <col min="2290" max="2290" width="13.5703125" style="91" customWidth="1"/>
    <col min="2291" max="2291" width="9.42578125" style="91" customWidth="1"/>
    <col min="2292" max="2292" width="19" style="91" customWidth="1"/>
    <col min="2293" max="2293" width="22.7109375" style="91" customWidth="1"/>
    <col min="2294" max="2542" width="9.140625" style="91"/>
    <col min="2543" max="2543" width="7.5703125" style="91" customWidth="1"/>
    <col min="2544" max="2544" width="15.5703125" style="91" customWidth="1"/>
    <col min="2545" max="2545" width="34.85546875" style="91" customWidth="1"/>
    <col min="2546" max="2546" width="13.5703125" style="91" customWidth="1"/>
    <col min="2547" max="2547" width="9.42578125" style="91" customWidth="1"/>
    <col min="2548" max="2548" width="19" style="91" customWidth="1"/>
    <col min="2549" max="2549" width="22.7109375" style="91" customWidth="1"/>
    <col min="2550" max="2798" width="9.140625" style="91"/>
    <col min="2799" max="2799" width="7.5703125" style="91" customWidth="1"/>
    <col min="2800" max="2800" width="15.5703125" style="91" customWidth="1"/>
    <col min="2801" max="2801" width="34.85546875" style="91" customWidth="1"/>
    <col min="2802" max="2802" width="13.5703125" style="91" customWidth="1"/>
    <col min="2803" max="2803" width="9.42578125" style="91" customWidth="1"/>
    <col min="2804" max="2804" width="19" style="91" customWidth="1"/>
    <col min="2805" max="2805" width="22.7109375" style="91" customWidth="1"/>
    <col min="2806" max="3054" width="9.140625" style="91"/>
    <col min="3055" max="3055" width="7.5703125" style="91" customWidth="1"/>
    <col min="3056" max="3056" width="15.5703125" style="91" customWidth="1"/>
    <col min="3057" max="3057" width="34.85546875" style="91" customWidth="1"/>
    <col min="3058" max="3058" width="13.5703125" style="91" customWidth="1"/>
    <col min="3059" max="3059" width="9.42578125" style="91" customWidth="1"/>
    <col min="3060" max="3060" width="19" style="91" customWidth="1"/>
    <col min="3061" max="3061" width="22.7109375" style="91" customWidth="1"/>
    <col min="3062" max="3310" width="9.140625" style="91"/>
    <col min="3311" max="3311" width="7.5703125" style="91" customWidth="1"/>
    <col min="3312" max="3312" width="15.5703125" style="91" customWidth="1"/>
    <col min="3313" max="3313" width="34.85546875" style="91" customWidth="1"/>
    <col min="3314" max="3314" width="13.5703125" style="91" customWidth="1"/>
    <col min="3315" max="3315" width="9.42578125" style="91" customWidth="1"/>
    <col min="3316" max="3316" width="19" style="91" customWidth="1"/>
    <col min="3317" max="3317" width="22.7109375" style="91" customWidth="1"/>
    <col min="3318" max="3566" width="9.140625" style="91"/>
    <col min="3567" max="3567" width="7.5703125" style="91" customWidth="1"/>
    <col min="3568" max="3568" width="15.5703125" style="91" customWidth="1"/>
    <col min="3569" max="3569" width="34.85546875" style="91" customWidth="1"/>
    <col min="3570" max="3570" width="13.5703125" style="91" customWidth="1"/>
    <col min="3571" max="3571" width="9.42578125" style="91" customWidth="1"/>
    <col min="3572" max="3572" width="19" style="91" customWidth="1"/>
    <col min="3573" max="3573" width="22.7109375" style="91" customWidth="1"/>
    <col min="3574" max="3822" width="9.140625" style="91"/>
    <col min="3823" max="3823" width="7.5703125" style="91" customWidth="1"/>
    <col min="3824" max="3824" width="15.5703125" style="91" customWidth="1"/>
    <col min="3825" max="3825" width="34.85546875" style="91" customWidth="1"/>
    <col min="3826" max="3826" width="13.5703125" style="91" customWidth="1"/>
    <col min="3827" max="3827" width="9.42578125" style="91" customWidth="1"/>
    <col min="3828" max="3828" width="19" style="91" customWidth="1"/>
    <col min="3829" max="3829" width="22.7109375" style="91" customWidth="1"/>
    <col min="3830" max="4078" width="9.140625" style="91"/>
    <col min="4079" max="4079" width="7.5703125" style="91" customWidth="1"/>
    <col min="4080" max="4080" width="15.5703125" style="91" customWidth="1"/>
    <col min="4081" max="4081" width="34.85546875" style="91" customWidth="1"/>
    <col min="4082" max="4082" width="13.5703125" style="91" customWidth="1"/>
    <col min="4083" max="4083" width="9.42578125" style="91" customWidth="1"/>
    <col min="4084" max="4084" width="19" style="91" customWidth="1"/>
    <col min="4085" max="4085" width="22.7109375" style="91" customWidth="1"/>
    <col min="4086" max="4334" width="9.140625" style="91"/>
    <col min="4335" max="4335" width="7.5703125" style="91" customWidth="1"/>
    <col min="4336" max="4336" width="15.5703125" style="91" customWidth="1"/>
    <col min="4337" max="4337" width="34.85546875" style="91" customWidth="1"/>
    <col min="4338" max="4338" width="13.5703125" style="91" customWidth="1"/>
    <col min="4339" max="4339" width="9.42578125" style="91" customWidth="1"/>
    <col min="4340" max="4340" width="19" style="91" customWidth="1"/>
    <col min="4341" max="4341" width="22.7109375" style="91" customWidth="1"/>
    <col min="4342" max="4590" width="9.140625" style="91"/>
    <col min="4591" max="4591" width="7.5703125" style="91" customWidth="1"/>
    <col min="4592" max="4592" width="15.5703125" style="91" customWidth="1"/>
    <col min="4593" max="4593" width="34.85546875" style="91" customWidth="1"/>
    <col min="4594" max="4594" width="13.5703125" style="91" customWidth="1"/>
    <col min="4595" max="4595" width="9.42578125" style="91" customWidth="1"/>
    <col min="4596" max="4596" width="19" style="91" customWidth="1"/>
    <col min="4597" max="4597" width="22.7109375" style="91" customWidth="1"/>
    <col min="4598" max="4846" width="9.140625" style="91"/>
    <col min="4847" max="4847" width="7.5703125" style="91" customWidth="1"/>
    <col min="4848" max="4848" width="15.5703125" style="91" customWidth="1"/>
    <col min="4849" max="4849" width="34.85546875" style="91" customWidth="1"/>
    <col min="4850" max="4850" width="13.5703125" style="91" customWidth="1"/>
    <col min="4851" max="4851" width="9.42578125" style="91" customWidth="1"/>
    <col min="4852" max="4852" width="19" style="91" customWidth="1"/>
    <col min="4853" max="4853" width="22.7109375" style="91" customWidth="1"/>
    <col min="4854" max="5102" width="9.140625" style="91"/>
    <col min="5103" max="5103" width="7.5703125" style="91" customWidth="1"/>
    <col min="5104" max="5104" width="15.5703125" style="91" customWidth="1"/>
    <col min="5105" max="5105" width="34.85546875" style="91" customWidth="1"/>
    <col min="5106" max="5106" width="13.5703125" style="91" customWidth="1"/>
    <col min="5107" max="5107" width="9.42578125" style="91" customWidth="1"/>
    <col min="5108" max="5108" width="19" style="91" customWidth="1"/>
    <col min="5109" max="5109" width="22.7109375" style="91" customWidth="1"/>
    <col min="5110" max="5358" width="9.140625" style="91"/>
    <col min="5359" max="5359" width="7.5703125" style="91" customWidth="1"/>
    <col min="5360" max="5360" width="15.5703125" style="91" customWidth="1"/>
    <col min="5361" max="5361" width="34.85546875" style="91" customWidth="1"/>
    <col min="5362" max="5362" width="13.5703125" style="91" customWidth="1"/>
    <col min="5363" max="5363" width="9.42578125" style="91" customWidth="1"/>
    <col min="5364" max="5364" width="19" style="91" customWidth="1"/>
    <col min="5365" max="5365" width="22.7109375" style="91" customWidth="1"/>
    <col min="5366" max="5614" width="9.140625" style="91"/>
    <col min="5615" max="5615" width="7.5703125" style="91" customWidth="1"/>
    <col min="5616" max="5616" width="15.5703125" style="91" customWidth="1"/>
    <col min="5617" max="5617" width="34.85546875" style="91" customWidth="1"/>
    <col min="5618" max="5618" width="13.5703125" style="91" customWidth="1"/>
    <col min="5619" max="5619" width="9.42578125" style="91" customWidth="1"/>
    <col min="5620" max="5620" width="19" style="91" customWidth="1"/>
    <col min="5621" max="5621" width="22.7109375" style="91" customWidth="1"/>
    <col min="5622" max="5870" width="9.140625" style="91"/>
    <col min="5871" max="5871" width="7.5703125" style="91" customWidth="1"/>
    <col min="5872" max="5872" width="15.5703125" style="91" customWidth="1"/>
    <col min="5873" max="5873" width="34.85546875" style="91" customWidth="1"/>
    <col min="5874" max="5874" width="13.5703125" style="91" customWidth="1"/>
    <col min="5875" max="5875" width="9.42578125" style="91" customWidth="1"/>
    <col min="5876" max="5876" width="19" style="91" customWidth="1"/>
    <col min="5877" max="5877" width="22.7109375" style="91" customWidth="1"/>
    <col min="5878" max="6126" width="9.140625" style="91"/>
    <col min="6127" max="6127" width="7.5703125" style="91" customWidth="1"/>
    <col min="6128" max="6128" width="15.5703125" style="91" customWidth="1"/>
    <col min="6129" max="6129" width="34.85546875" style="91" customWidth="1"/>
    <col min="6130" max="6130" width="13.5703125" style="91" customWidth="1"/>
    <col min="6131" max="6131" width="9.42578125" style="91" customWidth="1"/>
    <col min="6132" max="6132" width="19" style="91" customWidth="1"/>
    <col min="6133" max="6133" width="22.7109375" style="91" customWidth="1"/>
    <col min="6134" max="6382" width="9.140625" style="91"/>
    <col min="6383" max="6383" width="7.5703125" style="91" customWidth="1"/>
    <col min="6384" max="6384" width="15.5703125" style="91" customWidth="1"/>
    <col min="6385" max="6385" width="34.85546875" style="91" customWidth="1"/>
    <col min="6386" max="6386" width="13.5703125" style="91" customWidth="1"/>
    <col min="6387" max="6387" width="9.42578125" style="91" customWidth="1"/>
    <col min="6388" max="6388" width="19" style="91" customWidth="1"/>
    <col min="6389" max="6389" width="22.7109375" style="91" customWidth="1"/>
    <col min="6390" max="6638" width="9.140625" style="91"/>
    <col min="6639" max="6639" width="7.5703125" style="91" customWidth="1"/>
    <col min="6640" max="6640" width="15.5703125" style="91" customWidth="1"/>
    <col min="6641" max="6641" width="34.85546875" style="91" customWidth="1"/>
    <col min="6642" max="6642" width="13.5703125" style="91" customWidth="1"/>
    <col min="6643" max="6643" width="9.42578125" style="91" customWidth="1"/>
    <col min="6644" max="6644" width="19" style="91" customWidth="1"/>
    <col min="6645" max="6645" width="22.7109375" style="91" customWidth="1"/>
    <col min="6646" max="6894" width="9.140625" style="91"/>
    <col min="6895" max="6895" width="7.5703125" style="91" customWidth="1"/>
    <col min="6896" max="6896" width="15.5703125" style="91" customWidth="1"/>
    <col min="6897" max="6897" width="34.85546875" style="91" customWidth="1"/>
    <col min="6898" max="6898" width="13.5703125" style="91" customWidth="1"/>
    <col min="6899" max="6899" width="9.42578125" style="91" customWidth="1"/>
    <col min="6900" max="6900" width="19" style="91" customWidth="1"/>
    <col min="6901" max="6901" width="22.7109375" style="91" customWidth="1"/>
    <col min="6902" max="7150" width="9.140625" style="91"/>
    <col min="7151" max="7151" width="7.5703125" style="91" customWidth="1"/>
    <col min="7152" max="7152" width="15.5703125" style="91" customWidth="1"/>
    <col min="7153" max="7153" width="34.85546875" style="91" customWidth="1"/>
    <col min="7154" max="7154" width="13.5703125" style="91" customWidth="1"/>
    <col min="7155" max="7155" width="9.42578125" style="91" customWidth="1"/>
    <col min="7156" max="7156" width="19" style="91" customWidth="1"/>
    <col min="7157" max="7157" width="22.7109375" style="91" customWidth="1"/>
    <col min="7158" max="7406" width="9.140625" style="91"/>
    <col min="7407" max="7407" width="7.5703125" style="91" customWidth="1"/>
    <col min="7408" max="7408" width="15.5703125" style="91" customWidth="1"/>
    <col min="7409" max="7409" width="34.85546875" style="91" customWidth="1"/>
    <col min="7410" max="7410" width="13.5703125" style="91" customWidth="1"/>
    <col min="7411" max="7411" width="9.42578125" style="91" customWidth="1"/>
    <col min="7412" max="7412" width="19" style="91" customWidth="1"/>
    <col min="7413" max="7413" width="22.7109375" style="91" customWidth="1"/>
    <col min="7414" max="7662" width="9.140625" style="91"/>
    <col min="7663" max="7663" width="7.5703125" style="91" customWidth="1"/>
    <col min="7664" max="7664" width="15.5703125" style="91" customWidth="1"/>
    <col min="7665" max="7665" width="34.85546875" style="91" customWidth="1"/>
    <col min="7666" max="7666" width="13.5703125" style="91" customWidth="1"/>
    <col min="7667" max="7667" width="9.42578125" style="91" customWidth="1"/>
    <col min="7668" max="7668" width="19" style="91" customWidth="1"/>
    <col min="7669" max="7669" width="22.7109375" style="91" customWidth="1"/>
    <col min="7670" max="7918" width="9.140625" style="91"/>
    <col min="7919" max="7919" width="7.5703125" style="91" customWidth="1"/>
    <col min="7920" max="7920" width="15.5703125" style="91" customWidth="1"/>
    <col min="7921" max="7921" width="34.85546875" style="91" customWidth="1"/>
    <col min="7922" max="7922" width="13.5703125" style="91" customWidth="1"/>
    <col min="7923" max="7923" width="9.42578125" style="91" customWidth="1"/>
    <col min="7924" max="7924" width="19" style="91" customWidth="1"/>
    <col min="7925" max="7925" width="22.7109375" style="91" customWidth="1"/>
    <col min="7926" max="8174" width="9.140625" style="91"/>
    <col min="8175" max="8175" width="7.5703125" style="91" customWidth="1"/>
    <col min="8176" max="8176" width="15.5703125" style="91" customWidth="1"/>
    <col min="8177" max="8177" width="34.85546875" style="91" customWidth="1"/>
    <col min="8178" max="8178" width="13.5703125" style="91" customWidth="1"/>
    <col min="8179" max="8179" width="9.42578125" style="91" customWidth="1"/>
    <col min="8180" max="8180" width="19" style="91" customWidth="1"/>
    <col min="8181" max="8181" width="22.7109375" style="91" customWidth="1"/>
    <col min="8182" max="8430" width="9.140625" style="91"/>
    <col min="8431" max="8431" width="7.5703125" style="91" customWidth="1"/>
    <col min="8432" max="8432" width="15.5703125" style="91" customWidth="1"/>
    <col min="8433" max="8433" width="34.85546875" style="91" customWidth="1"/>
    <col min="8434" max="8434" width="13.5703125" style="91" customWidth="1"/>
    <col min="8435" max="8435" width="9.42578125" style="91" customWidth="1"/>
    <col min="8436" max="8436" width="19" style="91" customWidth="1"/>
    <col min="8437" max="8437" width="22.7109375" style="91" customWidth="1"/>
    <col min="8438" max="8686" width="9.140625" style="91"/>
    <col min="8687" max="8687" width="7.5703125" style="91" customWidth="1"/>
    <col min="8688" max="8688" width="15.5703125" style="91" customWidth="1"/>
    <col min="8689" max="8689" width="34.85546875" style="91" customWidth="1"/>
    <col min="8690" max="8690" width="13.5703125" style="91" customWidth="1"/>
    <col min="8691" max="8691" width="9.42578125" style="91" customWidth="1"/>
    <col min="8692" max="8692" width="19" style="91" customWidth="1"/>
    <col min="8693" max="8693" width="22.7109375" style="91" customWidth="1"/>
    <col min="8694" max="8942" width="9.140625" style="91"/>
    <col min="8943" max="8943" width="7.5703125" style="91" customWidth="1"/>
    <col min="8944" max="8944" width="15.5703125" style="91" customWidth="1"/>
    <col min="8945" max="8945" width="34.85546875" style="91" customWidth="1"/>
    <col min="8946" max="8946" width="13.5703125" style="91" customWidth="1"/>
    <col min="8947" max="8947" width="9.42578125" style="91" customWidth="1"/>
    <col min="8948" max="8948" width="19" style="91" customWidth="1"/>
    <col min="8949" max="8949" width="22.7109375" style="91" customWidth="1"/>
    <col min="8950" max="9198" width="9.140625" style="91"/>
    <col min="9199" max="9199" width="7.5703125" style="91" customWidth="1"/>
    <col min="9200" max="9200" width="15.5703125" style="91" customWidth="1"/>
    <col min="9201" max="9201" width="34.85546875" style="91" customWidth="1"/>
    <col min="9202" max="9202" width="13.5703125" style="91" customWidth="1"/>
    <col min="9203" max="9203" width="9.42578125" style="91" customWidth="1"/>
    <col min="9204" max="9204" width="19" style="91" customWidth="1"/>
    <col min="9205" max="9205" width="22.7109375" style="91" customWidth="1"/>
    <col min="9206" max="9454" width="9.140625" style="91"/>
    <col min="9455" max="9455" width="7.5703125" style="91" customWidth="1"/>
    <col min="9456" max="9456" width="15.5703125" style="91" customWidth="1"/>
    <col min="9457" max="9457" width="34.85546875" style="91" customWidth="1"/>
    <col min="9458" max="9458" width="13.5703125" style="91" customWidth="1"/>
    <col min="9459" max="9459" width="9.42578125" style="91" customWidth="1"/>
    <col min="9460" max="9460" width="19" style="91" customWidth="1"/>
    <col min="9461" max="9461" width="22.7109375" style="91" customWidth="1"/>
    <col min="9462" max="9710" width="9.140625" style="91"/>
    <col min="9711" max="9711" width="7.5703125" style="91" customWidth="1"/>
    <col min="9712" max="9712" width="15.5703125" style="91" customWidth="1"/>
    <col min="9713" max="9713" width="34.85546875" style="91" customWidth="1"/>
    <col min="9714" max="9714" width="13.5703125" style="91" customWidth="1"/>
    <col min="9715" max="9715" width="9.42578125" style="91" customWidth="1"/>
    <col min="9716" max="9716" width="19" style="91" customWidth="1"/>
    <col min="9717" max="9717" width="22.7109375" style="91" customWidth="1"/>
    <col min="9718" max="9966" width="9.140625" style="91"/>
    <col min="9967" max="9967" width="7.5703125" style="91" customWidth="1"/>
    <col min="9968" max="9968" width="15.5703125" style="91" customWidth="1"/>
    <col min="9969" max="9969" width="34.85546875" style="91" customWidth="1"/>
    <col min="9970" max="9970" width="13.5703125" style="91" customWidth="1"/>
    <col min="9971" max="9971" width="9.42578125" style="91" customWidth="1"/>
    <col min="9972" max="9972" width="19" style="91" customWidth="1"/>
    <col min="9973" max="9973" width="22.7109375" style="91" customWidth="1"/>
    <col min="9974" max="10222" width="9.140625" style="91"/>
    <col min="10223" max="10223" width="7.5703125" style="91" customWidth="1"/>
    <col min="10224" max="10224" width="15.5703125" style="91" customWidth="1"/>
    <col min="10225" max="10225" width="34.85546875" style="91" customWidth="1"/>
    <col min="10226" max="10226" width="13.5703125" style="91" customWidth="1"/>
    <col min="10227" max="10227" width="9.42578125" style="91" customWidth="1"/>
    <col min="10228" max="10228" width="19" style="91" customWidth="1"/>
    <col min="10229" max="10229" width="22.7109375" style="91" customWidth="1"/>
    <col min="10230" max="10478" width="9.140625" style="91"/>
    <col min="10479" max="10479" width="7.5703125" style="91" customWidth="1"/>
    <col min="10480" max="10480" width="15.5703125" style="91" customWidth="1"/>
    <col min="10481" max="10481" width="34.85546875" style="91" customWidth="1"/>
    <col min="10482" max="10482" width="13.5703125" style="91" customWidth="1"/>
    <col min="10483" max="10483" width="9.42578125" style="91" customWidth="1"/>
    <col min="10484" max="10484" width="19" style="91" customWidth="1"/>
    <col min="10485" max="10485" width="22.7109375" style="91" customWidth="1"/>
    <col min="10486" max="10734" width="9.140625" style="91"/>
    <col min="10735" max="10735" width="7.5703125" style="91" customWidth="1"/>
    <col min="10736" max="10736" width="15.5703125" style="91" customWidth="1"/>
    <col min="10737" max="10737" width="34.85546875" style="91" customWidth="1"/>
    <col min="10738" max="10738" width="13.5703125" style="91" customWidth="1"/>
    <col min="10739" max="10739" width="9.42578125" style="91" customWidth="1"/>
    <col min="10740" max="10740" width="19" style="91" customWidth="1"/>
    <col min="10741" max="10741" width="22.7109375" style="91" customWidth="1"/>
    <col min="10742" max="10990" width="9.140625" style="91"/>
    <col min="10991" max="10991" width="7.5703125" style="91" customWidth="1"/>
    <col min="10992" max="10992" width="15.5703125" style="91" customWidth="1"/>
    <col min="10993" max="10993" width="34.85546875" style="91" customWidth="1"/>
    <col min="10994" max="10994" width="13.5703125" style="91" customWidth="1"/>
    <col min="10995" max="10995" width="9.42578125" style="91" customWidth="1"/>
    <col min="10996" max="10996" width="19" style="91" customWidth="1"/>
    <col min="10997" max="10997" width="22.7109375" style="91" customWidth="1"/>
    <col min="10998" max="11246" width="9.140625" style="91"/>
    <col min="11247" max="11247" width="7.5703125" style="91" customWidth="1"/>
    <col min="11248" max="11248" width="15.5703125" style="91" customWidth="1"/>
    <col min="11249" max="11249" width="34.85546875" style="91" customWidth="1"/>
    <col min="11250" max="11250" width="13.5703125" style="91" customWidth="1"/>
    <col min="11251" max="11251" width="9.42578125" style="91" customWidth="1"/>
    <col min="11252" max="11252" width="19" style="91" customWidth="1"/>
    <col min="11253" max="11253" width="22.7109375" style="91" customWidth="1"/>
    <col min="11254" max="11502" width="9.140625" style="91"/>
    <col min="11503" max="11503" width="7.5703125" style="91" customWidth="1"/>
    <col min="11504" max="11504" width="15.5703125" style="91" customWidth="1"/>
    <col min="11505" max="11505" width="34.85546875" style="91" customWidth="1"/>
    <col min="11506" max="11506" width="13.5703125" style="91" customWidth="1"/>
    <col min="11507" max="11507" width="9.42578125" style="91" customWidth="1"/>
    <col min="11508" max="11508" width="19" style="91" customWidth="1"/>
    <col min="11509" max="11509" width="22.7109375" style="91" customWidth="1"/>
    <col min="11510" max="11758" width="9.140625" style="91"/>
    <col min="11759" max="11759" width="7.5703125" style="91" customWidth="1"/>
    <col min="11760" max="11760" width="15.5703125" style="91" customWidth="1"/>
    <col min="11761" max="11761" width="34.85546875" style="91" customWidth="1"/>
    <col min="11762" max="11762" width="13.5703125" style="91" customWidth="1"/>
    <col min="11763" max="11763" width="9.42578125" style="91" customWidth="1"/>
    <col min="11764" max="11764" width="19" style="91" customWidth="1"/>
    <col min="11765" max="11765" width="22.7109375" style="91" customWidth="1"/>
    <col min="11766" max="12014" width="9.140625" style="91"/>
    <col min="12015" max="12015" width="7.5703125" style="91" customWidth="1"/>
    <col min="12016" max="12016" width="15.5703125" style="91" customWidth="1"/>
    <col min="12017" max="12017" width="34.85546875" style="91" customWidth="1"/>
    <col min="12018" max="12018" width="13.5703125" style="91" customWidth="1"/>
    <col min="12019" max="12019" width="9.42578125" style="91" customWidth="1"/>
    <col min="12020" max="12020" width="19" style="91" customWidth="1"/>
    <col min="12021" max="12021" width="22.7109375" style="91" customWidth="1"/>
    <col min="12022" max="12270" width="9.140625" style="91"/>
    <col min="12271" max="12271" width="7.5703125" style="91" customWidth="1"/>
    <col min="12272" max="12272" width="15.5703125" style="91" customWidth="1"/>
    <col min="12273" max="12273" width="34.85546875" style="91" customWidth="1"/>
    <col min="12274" max="12274" width="13.5703125" style="91" customWidth="1"/>
    <col min="12275" max="12275" width="9.42578125" style="91" customWidth="1"/>
    <col min="12276" max="12276" width="19" style="91" customWidth="1"/>
    <col min="12277" max="12277" width="22.7109375" style="91" customWidth="1"/>
    <col min="12278" max="12526" width="9.140625" style="91"/>
    <col min="12527" max="12527" width="7.5703125" style="91" customWidth="1"/>
    <col min="12528" max="12528" width="15.5703125" style="91" customWidth="1"/>
    <col min="12529" max="12529" width="34.85546875" style="91" customWidth="1"/>
    <col min="12530" max="12530" width="13.5703125" style="91" customWidth="1"/>
    <col min="12531" max="12531" width="9.42578125" style="91" customWidth="1"/>
    <col min="12532" max="12532" width="19" style="91" customWidth="1"/>
    <col min="12533" max="12533" width="22.7109375" style="91" customWidth="1"/>
    <col min="12534" max="12782" width="9.140625" style="91"/>
    <col min="12783" max="12783" width="7.5703125" style="91" customWidth="1"/>
    <col min="12784" max="12784" width="15.5703125" style="91" customWidth="1"/>
    <col min="12785" max="12785" width="34.85546875" style="91" customWidth="1"/>
    <col min="12786" max="12786" width="13.5703125" style="91" customWidth="1"/>
    <col min="12787" max="12787" width="9.42578125" style="91" customWidth="1"/>
    <col min="12788" max="12788" width="19" style="91" customWidth="1"/>
    <col min="12789" max="12789" width="22.7109375" style="91" customWidth="1"/>
    <col min="12790" max="13038" width="9.140625" style="91"/>
    <col min="13039" max="13039" width="7.5703125" style="91" customWidth="1"/>
    <col min="13040" max="13040" width="15.5703125" style="91" customWidth="1"/>
    <col min="13041" max="13041" width="34.85546875" style="91" customWidth="1"/>
    <col min="13042" max="13042" width="13.5703125" style="91" customWidth="1"/>
    <col min="13043" max="13043" width="9.42578125" style="91" customWidth="1"/>
    <col min="13044" max="13044" width="19" style="91" customWidth="1"/>
    <col min="13045" max="13045" width="22.7109375" style="91" customWidth="1"/>
    <col min="13046" max="13294" width="9.140625" style="91"/>
    <col min="13295" max="13295" width="7.5703125" style="91" customWidth="1"/>
    <col min="13296" max="13296" width="15.5703125" style="91" customWidth="1"/>
    <col min="13297" max="13297" width="34.85546875" style="91" customWidth="1"/>
    <col min="13298" max="13298" width="13.5703125" style="91" customWidth="1"/>
    <col min="13299" max="13299" width="9.42578125" style="91" customWidth="1"/>
    <col min="13300" max="13300" width="19" style="91" customWidth="1"/>
    <col min="13301" max="13301" width="22.7109375" style="91" customWidth="1"/>
    <col min="13302" max="13550" width="9.140625" style="91"/>
    <col min="13551" max="13551" width="7.5703125" style="91" customWidth="1"/>
    <col min="13552" max="13552" width="15.5703125" style="91" customWidth="1"/>
    <col min="13553" max="13553" width="34.85546875" style="91" customWidth="1"/>
    <col min="13554" max="13554" width="13.5703125" style="91" customWidth="1"/>
    <col min="13555" max="13555" width="9.42578125" style="91" customWidth="1"/>
    <col min="13556" max="13556" width="19" style="91" customWidth="1"/>
    <col min="13557" max="13557" width="22.7109375" style="91" customWidth="1"/>
    <col min="13558" max="13806" width="9.140625" style="91"/>
    <col min="13807" max="13807" width="7.5703125" style="91" customWidth="1"/>
    <col min="13808" max="13808" width="15.5703125" style="91" customWidth="1"/>
    <col min="13809" max="13809" width="34.85546875" style="91" customWidth="1"/>
    <col min="13810" max="13810" width="13.5703125" style="91" customWidth="1"/>
    <col min="13811" max="13811" width="9.42578125" style="91" customWidth="1"/>
    <col min="13812" max="13812" width="19" style="91" customWidth="1"/>
    <col min="13813" max="13813" width="22.7109375" style="91" customWidth="1"/>
    <col min="13814" max="14062" width="9.140625" style="91"/>
    <col min="14063" max="14063" width="7.5703125" style="91" customWidth="1"/>
    <col min="14064" max="14064" width="15.5703125" style="91" customWidth="1"/>
    <col min="14065" max="14065" width="34.85546875" style="91" customWidth="1"/>
    <col min="14066" max="14066" width="13.5703125" style="91" customWidth="1"/>
    <col min="14067" max="14067" width="9.42578125" style="91" customWidth="1"/>
    <col min="14068" max="14068" width="19" style="91" customWidth="1"/>
    <col min="14069" max="14069" width="22.7109375" style="91" customWidth="1"/>
    <col min="14070" max="14318" width="9.140625" style="91"/>
    <col min="14319" max="14319" width="7.5703125" style="91" customWidth="1"/>
    <col min="14320" max="14320" width="15.5703125" style="91" customWidth="1"/>
    <col min="14321" max="14321" width="34.85546875" style="91" customWidth="1"/>
    <col min="14322" max="14322" width="13.5703125" style="91" customWidth="1"/>
    <col min="14323" max="14323" width="9.42578125" style="91" customWidth="1"/>
    <col min="14324" max="14324" width="19" style="91" customWidth="1"/>
    <col min="14325" max="14325" width="22.7109375" style="91" customWidth="1"/>
    <col min="14326" max="14574" width="9.140625" style="91"/>
    <col min="14575" max="14575" width="7.5703125" style="91" customWidth="1"/>
    <col min="14576" max="14576" width="15.5703125" style="91" customWidth="1"/>
    <col min="14577" max="14577" width="34.85546875" style="91" customWidth="1"/>
    <col min="14578" max="14578" width="13.5703125" style="91" customWidth="1"/>
    <col min="14579" max="14579" width="9.42578125" style="91" customWidth="1"/>
    <col min="14580" max="14580" width="19" style="91" customWidth="1"/>
    <col min="14581" max="14581" width="22.7109375" style="91" customWidth="1"/>
    <col min="14582" max="14830" width="9.140625" style="91"/>
    <col min="14831" max="14831" width="7.5703125" style="91" customWidth="1"/>
    <col min="14832" max="14832" width="15.5703125" style="91" customWidth="1"/>
    <col min="14833" max="14833" width="34.85546875" style="91" customWidth="1"/>
    <col min="14834" max="14834" width="13.5703125" style="91" customWidth="1"/>
    <col min="14835" max="14835" width="9.42578125" style="91" customWidth="1"/>
    <col min="14836" max="14836" width="19" style="91" customWidth="1"/>
    <col min="14837" max="14837" width="22.7109375" style="91" customWidth="1"/>
    <col min="14838" max="15086" width="9.140625" style="91"/>
    <col min="15087" max="15087" width="7.5703125" style="91" customWidth="1"/>
    <col min="15088" max="15088" width="15.5703125" style="91" customWidth="1"/>
    <col min="15089" max="15089" width="34.85546875" style="91" customWidth="1"/>
    <col min="15090" max="15090" width="13.5703125" style="91" customWidth="1"/>
    <col min="15091" max="15091" width="9.42578125" style="91" customWidth="1"/>
    <col min="15092" max="15092" width="19" style="91" customWidth="1"/>
    <col min="15093" max="15093" width="22.7109375" style="91" customWidth="1"/>
    <col min="15094" max="15342" width="9.140625" style="91"/>
    <col min="15343" max="15343" width="7.5703125" style="91" customWidth="1"/>
    <col min="15344" max="15344" width="15.5703125" style="91" customWidth="1"/>
    <col min="15345" max="15345" width="34.85546875" style="91" customWidth="1"/>
    <col min="15346" max="15346" width="13.5703125" style="91" customWidth="1"/>
    <col min="15347" max="15347" width="9.42578125" style="91" customWidth="1"/>
    <col min="15348" max="15348" width="19" style="91" customWidth="1"/>
    <col min="15349" max="15349" width="22.7109375" style="91" customWidth="1"/>
    <col min="15350" max="15598" width="9.140625" style="91"/>
    <col min="15599" max="15599" width="7.5703125" style="91" customWidth="1"/>
    <col min="15600" max="15600" width="15.5703125" style="91" customWidth="1"/>
    <col min="15601" max="15601" width="34.85546875" style="91" customWidth="1"/>
    <col min="15602" max="15602" width="13.5703125" style="91" customWidth="1"/>
    <col min="15603" max="15603" width="9.42578125" style="91" customWidth="1"/>
    <col min="15604" max="15604" width="19" style="91" customWidth="1"/>
    <col min="15605" max="15605" width="22.7109375" style="91" customWidth="1"/>
    <col min="15606" max="15854" width="9.140625" style="91"/>
    <col min="15855" max="15855" width="7.5703125" style="91" customWidth="1"/>
    <col min="15856" max="15856" width="15.5703125" style="91" customWidth="1"/>
    <col min="15857" max="15857" width="34.85546875" style="91" customWidth="1"/>
    <col min="15858" max="15858" width="13.5703125" style="91" customWidth="1"/>
    <col min="15859" max="15859" width="9.42578125" style="91" customWidth="1"/>
    <col min="15860" max="15860" width="19" style="91" customWidth="1"/>
    <col min="15861" max="15861" width="22.7109375" style="91" customWidth="1"/>
    <col min="15862" max="16110" width="9.140625" style="91"/>
    <col min="16111" max="16111" width="7.5703125" style="91" customWidth="1"/>
    <col min="16112" max="16112" width="15.5703125" style="91" customWidth="1"/>
    <col min="16113" max="16113" width="34.85546875" style="91" customWidth="1"/>
    <col min="16114" max="16114" width="13.5703125" style="91" customWidth="1"/>
    <col min="16115" max="16115" width="9.42578125" style="91" customWidth="1"/>
    <col min="16116" max="16116" width="19" style="91" customWidth="1"/>
    <col min="16117" max="16117" width="22.7109375" style="91" customWidth="1"/>
    <col min="16118" max="16384" width="9.140625" style="91"/>
  </cols>
  <sheetData>
    <row r="1" spans="1:242" s="88" customFormat="1" ht="17.25" customHeight="1" x14ac:dyDescent="0.25">
      <c r="A1" s="209" t="s">
        <v>298</v>
      </c>
      <c r="B1" s="209"/>
      <c r="C1" s="209"/>
      <c r="D1" s="209"/>
      <c r="E1" s="209"/>
      <c r="F1" s="209"/>
      <c r="G1" s="209"/>
      <c r="H1" s="84"/>
      <c r="I1" s="85"/>
      <c r="J1" s="85"/>
      <c r="K1" s="85"/>
      <c r="L1" s="86"/>
      <c r="M1" s="85"/>
      <c r="N1" s="85"/>
      <c r="O1" s="85"/>
      <c r="P1" s="87"/>
      <c r="Q1" s="87"/>
    </row>
    <row r="2" spans="1:242" s="88" customFormat="1" ht="17.25" customHeight="1" x14ac:dyDescent="0.25">
      <c r="A2" s="209" t="s">
        <v>299</v>
      </c>
      <c r="B2" s="209"/>
      <c r="C2" s="209"/>
      <c r="D2" s="209"/>
      <c r="E2" s="209"/>
      <c r="F2" s="209"/>
      <c r="G2" s="209"/>
      <c r="H2" s="84"/>
      <c r="I2" s="85"/>
      <c r="J2" s="85"/>
      <c r="K2" s="85"/>
      <c r="L2" s="86"/>
      <c r="M2" s="85"/>
      <c r="N2" s="85"/>
      <c r="O2" s="85"/>
      <c r="P2" s="87"/>
      <c r="Q2" s="87"/>
    </row>
    <row r="3" spans="1:242" s="88" customFormat="1" ht="17.25" customHeight="1" x14ac:dyDescent="0.25">
      <c r="A3" s="209" t="s">
        <v>300</v>
      </c>
      <c r="B3" s="209"/>
      <c r="C3" s="209"/>
      <c r="D3" s="209"/>
      <c r="E3" s="209"/>
      <c r="F3" s="209"/>
      <c r="G3" s="209"/>
      <c r="H3" s="84"/>
      <c r="I3" s="85"/>
      <c r="J3" s="85"/>
      <c r="K3" s="85"/>
      <c r="L3" s="86"/>
      <c r="M3" s="85"/>
      <c r="N3" s="85"/>
      <c r="O3" s="85"/>
      <c r="P3" s="87"/>
      <c r="Q3" s="87"/>
    </row>
    <row r="4" spans="1:242" s="88" customFormat="1" ht="17.25" customHeight="1" x14ac:dyDescent="0.25">
      <c r="A4" s="210" t="s">
        <v>301</v>
      </c>
      <c r="B4" s="209"/>
      <c r="C4" s="209"/>
      <c r="D4" s="209"/>
      <c r="E4" s="209"/>
      <c r="F4" s="209"/>
      <c r="G4" s="209"/>
      <c r="H4" s="84"/>
      <c r="I4" s="85"/>
      <c r="J4" s="85"/>
      <c r="K4" s="85"/>
      <c r="L4" s="86"/>
      <c r="M4" s="85"/>
      <c r="N4" s="85"/>
      <c r="O4" s="85"/>
      <c r="P4" s="87"/>
      <c r="Q4" s="87"/>
    </row>
    <row r="5" spans="1:242" s="88" customFormat="1" ht="17.25" customHeight="1" x14ac:dyDescent="0.25">
      <c r="A5" s="211" t="s">
        <v>302</v>
      </c>
      <c r="B5" s="211"/>
      <c r="C5" s="211"/>
      <c r="D5" s="211"/>
      <c r="E5" s="211"/>
      <c r="F5" s="211"/>
      <c r="G5" s="211"/>
      <c r="H5" s="89"/>
      <c r="I5" s="85"/>
      <c r="J5" s="85"/>
      <c r="K5" s="85"/>
      <c r="L5" s="86"/>
      <c r="M5" s="85"/>
      <c r="N5" s="85"/>
      <c r="O5" s="85"/>
      <c r="P5" s="87"/>
      <c r="Q5" s="87"/>
    </row>
    <row r="6" spans="1:242" ht="15" customHeight="1" x14ac:dyDescent="0.25">
      <c r="A6" s="208"/>
      <c r="B6" s="208"/>
      <c r="C6" s="208"/>
      <c r="D6" s="208"/>
      <c r="E6" s="208"/>
      <c r="F6" s="208"/>
      <c r="G6" s="208"/>
      <c r="H6" s="90"/>
    </row>
    <row r="7" spans="1:242" s="94" customFormat="1" ht="17.25" customHeight="1" x14ac:dyDescent="0.25">
      <c r="A7" s="205" t="s">
        <v>258</v>
      </c>
      <c r="B7" s="205"/>
      <c r="C7" s="205"/>
      <c r="D7" s="205"/>
      <c r="E7" s="205"/>
      <c r="F7" s="205"/>
      <c r="G7" s="205"/>
      <c r="H7" s="92"/>
      <c r="I7" s="93"/>
      <c r="J7" s="93"/>
      <c r="K7" s="93"/>
      <c r="L7" s="93"/>
      <c r="M7" s="93"/>
      <c r="N7" s="93"/>
      <c r="O7" s="93"/>
      <c r="P7" s="93"/>
      <c r="Q7" s="93"/>
    </row>
    <row r="8" spans="1:242" s="96" customFormat="1" ht="15" customHeight="1" thickBot="1" x14ac:dyDescent="0.3">
      <c r="A8" s="206"/>
      <c r="B8" s="206"/>
      <c r="C8" s="206"/>
      <c r="D8" s="206"/>
      <c r="E8" s="206"/>
      <c r="F8" s="206"/>
      <c r="G8" s="206"/>
      <c r="H8" s="206"/>
      <c r="I8" s="95"/>
      <c r="J8" s="95"/>
      <c r="K8" s="95"/>
      <c r="L8" s="95"/>
      <c r="M8" s="95"/>
      <c r="N8" s="95"/>
      <c r="O8" s="95"/>
      <c r="P8" s="95"/>
      <c r="Q8" s="95"/>
    </row>
    <row r="9" spans="1:242" s="99" customFormat="1" ht="15" customHeight="1" thickTop="1" thickBot="1" x14ac:dyDescent="0.3">
      <c r="A9" s="192" t="s">
        <v>259</v>
      </c>
      <c r="B9" s="193"/>
      <c r="C9" s="193"/>
      <c r="D9" s="193"/>
      <c r="E9" s="193"/>
      <c r="F9" s="193"/>
      <c r="G9" s="194"/>
      <c r="H9" s="97"/>
      <c r="I9" s="85"/>
      <c r="J9" s="85"/>
      <c r="K9" s="85"/>
      <c r="L9" s="86"/>
      <c r="M9" s="85"/>
      <c r="N9" s="85"/>
      <c r="O9" s="85"/>
      <c r="P9" s="85"/>
      <c r="Q9" s="85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  <c r="HL9" s="91"/>
      <c r="HM9" s="91"/>
      <c r="HN9" s="91"/>
      <c r="HO9" s="91"/>
      <c r="HP9" s="91"/>
      <c r="HQ9" s="91"/>
      <c r="HR9" s="91"/>
      <c r="HS9" s="91"/>
      <c r="HT9" s="91"/>
      <c r="HU9" s="91"/>
      <c r="HV9" s="91"/>
      <c r="HW9" s="91"/>
      <c r="HX9" s="91"/>
      <c r="HY9" s="91"/>
      <c r="HZ9" s="91"/>
      <c r="IA9" s="91"/>
      <c r="IB9" s="91"/>
      <c r="IC9" s="91"/>
      <c r="ID9" s="91"/>
      <c r="IE9" s="91"/>
      <c r="IF9" s="91"/>
      <c r="IG9" s="98"/>
      <c r="IH9" s="98"/>
    </row>
    <row r="10" spans="1:242" s="99" customFormat="1" ht="15" customHeight="1" thickTop="1" thickBot="1" x14ac:dyDescent="0.3">
      <c r="A10" s="187" t="s">
        <v>260</v>
      </c>
      <c r="B10" s="188"/>
      <c r="C10" s="207" t="s">
        <v>261</v>
      </c>
      <c r="D10" s="207"/>
      <c r="E10" s="207"/>
      <c r="F10" s="207"/>
      <c r="G10" s="207"/>
      <c r="H10" s="97"/>
      <c r="I10" s="85"/>
      <c r="J10" s="85"/>
      <c r="K10" s="85"/>
      <c r="L10" s="86"/>
      <c r="M10" s="85"/>
      <c r="N10" s="85"/>
      <c r="O10" s="85"/>
      <c r="P10" s="85"/>
      <c r="Q10" s="85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B10" s="91"/>
      <c r="HC10" s="91"/>
      <c r="HD10" s="91"/>
      <c r="HE10" s="91"/>
      <c r="HF10" s="91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8"/>
      <c r="IH10" s="98"/>
    </row>
    <row r="11" spans="1:242" s="99" customFormat="1" ht="15" customHeight="1" thickTop="1" thickBot="1" x14ac:dyDescent="0.3">
      <c r="A11" s="187" t="s">
        <v>262</v>
      </c>
      <c r="B11" s="188"/>
      <c r="C11" s="198" t="s">
        <v>263</v>
      </c>
      <c r="D11" s="199"/>
      <c r="E11" s="200"/>
      <c r="F11" s="100" t="s">
        <v>264</v>
      </c>
      <c r="G11" s="125" t="s">
        <v>265</v>
      </c>
      <c r="H11" s="97"/>
      <c r="I11" s="85"/>
      <c r="J11" s="85"/>
      <c r="K11" s="85"/>
      <c r="L11" s="86"/>
      <c r="M11" s="85"/>
      <c r="N11" s="85"/>
      <c r="O11" s="85"/>
      <c r="P11" s="85"/>
      <c r="Q11" s="85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  <c r="GH11" s="91"/>
      <c r="GI11" s="91"/>
      <c r="GJ11" s="91"/>
      <c r="GK11" s="91"/>
      <c r="GL11" s="91"/>
      <c r="GM11" s="91"/>
      <c r="GN11" s="91"/>
      <c r="GO11" s="91"/>
      <c r="GP11" s="91"/>
      <c r="GQ11" s="91"/>
      <c r="GR11" s="91"/>
      <c r="GS11" s="91"/>
      <c r="GT11" s="91"/>
      <c r="GU11" s="91"/>
      <c r="GV11" s="91"/>
      <c r="GW11" s="91"/>
      <c r="GX11" s="91"/>
      <c r="GY11" s="91"/>
      <c r="GZ11" s="91"/>
      <c r="HA11" s="91"/>
      <c r="HB11" s="91"/>
      <c r="HC11" s="91"/>
      <c r="HD11" s="91"/>
      <c r="HE11" s="91"/>
      <c r="HF11" s="91"/>
      <c r="HG11" s="91"/>
      <c r="HH11" s="91"/>
      <c r="HI11" s="91"/>
      <c r="HJ11" s="91"/>
      <c r="HK11" s="91"/>
      <c r="HL11" s="91"/>
      <c r="HM11" s="91"/>
      <c r="HN11" s="91"/>
      <c r="HO11" s="91"/>
      <c r="HP11" s="91"/>
      <c r="HQ11" s="91"/>
      <c r="HR11" s="91"/>
      <c r="HS11" s="91"/>
      <c r="HT11" s="91"/>
      <c r="HU11" s="91"/>
      <c r="HV11" s="91"/>
      <c r="HW11" s="91"/>
      <c r="HX11" s="91"/>
      <c r="HY11" s="91"/>
      <c r="HZ11" s="91"/>
      <c r="IA11" s="91"/>
      <c r="IB11" s="91"/>
      <c r="IC11" s="91"/>
      <c r="ID11" s="91"/>
      <c r="IE11" s="91"/>
      <c r="IF11" s="91"/>
      <c r="IG11" s="98"/>
      <c r="IH11" s="98"/>
    </row>
    <row r="12" spans="1:242" s="99" customFormat="1" ht="15" customHeight="1" thickTop="1" thickBot="1" x14ac:dyDescent="0.3">
      <c r="A12" s="187" t="s">
        <v>266</v>
      </c>
      <c r="B12" s="188"/>
      <c r="C12" s="198" t="s">
        <v>267</v>
      </c>
      <c r="D12" s="199"/>
      <c r="E12" s="200"/>
      <c r="F12" s="100" t="s">
        <v>268</v>
      </c>
      <c r="G12" s="125" t="s">
        <v>269</v>
      </c>
      <c r="H12" s="97"/>
      <c r="I12" s="85"/>
      <c r="J12" s="85"/>
      <c r="K12" s="85"/>
      <c r="L12" s="86"/>
      <c r="M12" s="85"/>
      <c r="N12" s="85"/>
      <c r="O12" s="85"/>
      <c r="P12" s="85"/>
      <c r="Q12" s="85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  <c r="GH12" s="91"/>
      <c r="GI12" s="91"/>
      <c r="GJ12" s="91"/>
      <c r="GK12" s="91"/>
      <c r="GL12" s="91"/>
      <c r="GM12" s="91"/>
      <c r="GN12" s="91"/>
      <c r="GO12" s="91"/>
      <c r="GP12" s="91"/>
      <c r="GQ12" s="91"/>
      <c r="GR12" s="91"/>
      <c r="GS12" s="91"/>
      <c r="GT12" s="91"/>
      <c r="GU12" s="91"/>
      <c r="GV12" s="91"/>
      <c r="GW12" s="91"/>
      <c r="GX12" s="91"/>
      <c r="GY12" s="91"/>
      <c r="GZ12" s="91"/>
      <c r="HA12" s="91"/>
      <c r="HB12" s="91"/>
      <c r="HC12" s="91"/>
      <c r="HD12" s="91"/>
      <c r="HE12" s="91"/>
      <c r="HF12" s="91"/>
      <c r="HG12" s="91"/>
      <c r="HH12" s="91"/>
      <c r="HI12" s="91"/>
      <c r="HJ12" s="91"/>
      <c r="HK12" s="91"/>
      <c r="HL12" s="91"/>
      <c r="HM12" s="91"/>
      <c r="HN12" s="91"/>
      <c r="HO12" s="91"/>
      <c r="HP12" s="91"/>
      <c r="HQ12" s="91"/>
      <c r="HR12" s="91"/>
      <c r="HS12" s="91"/>
      <c r="HT12" s="91"/>
      <c r="HU12" s="91"/>
      <c r="HV12" s="91"/>
      <c r="HW12" s="91"/>
      <c r="HX12" s="91"/>
      <c r="HY12" s="91"/>
      <c r="HZ12" s="91"/>
      <c r="IA12" s="91"/>
      <c r="IB12" s="91"/>
      <c r="IC12" s="91"/>
      <c r="ID12" s="91"/>
      <c r="IE12" s="91"/>
      <c r="IF12" s="91"/>
      <c r="IG12" s="98"/>
      <c r="IH12" s="98"/>
    </row>
    <row r="13" spans="1:242" s="99" customFormat="1" ht="15" customHeight="1" thickTop="1" thickBot="1" x14ac:dyDescent="0.3">
      <c r="A13" s="187" t="s">
        <v>270</v>
      </c>
      <c r="B13" s="188"/>
      <c r="C13" s="198" t="s">
        <v>271</v>
      </c>
      <c r="D13" s="199"/>
      <c r="E13" s="200"/>
      <c r="F13" s="100" t="s">
        <v>272</v>
      </c>
      <c r="G13" s="125" t="s">
        <v>273</v>
      </c>
      <c r="H13" s="97"/>
      <c r="I13" s="85"/>
      <c r="J13" s="85"/>
      <c r="K13" s="85"/>
      <c r="L13" s="86"/>
      <c r="M13" s="85"/>
      <c r="N13" s="85"/>
      <c r="O13" s="85"/>
      <c r="P13" s="85"/>
      <c r="Q13" s="85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  <c r="GH13" s="91"/>
      <c r="GI13" s="91"/>
      <c r="GJ13" s="91"/>
      <c r="GK13" s="91"/>
      <c r="GL13" s="91"/>
      <c r="GM13" s="91"/>
      <c r="GN13" s="91"/>
      <c r="GO13" s="91"/>
      <c r="GP13" s="91"/>
      <c r="GQ13" s="91"/>
      <c r="GR13" s="91"/>
      <c r="GS13" s="91"/>
      <c r="GT13" s="91"/>
      <c r="GU13" s="91"/>
      <c r="GV13" s="91"/>
      <c r="GW13" s="91"/>
      <c r="GX13" s="91"/>
      <c r="GY13" s="91"/>
      <c r="GZ13" s="91"/>
      <c r="HA13" s="91"/>
      <c r="HB13" s="91"/>
      <c r="HC13" s="91"/>
      <c r="HD13" s="91"/>
      <c r="HE13" s="91"/>
      <c r="HF13" s="91"/>
      <c r="HG13" s="91"/>
      <c r="HH13" s="91"/>
      <c r="HI13" s="91"/>
      <c r="HJ13" s="91"/>
      <c r="HK13" s="91"/>
      <c r="HL13" s="91"/>
      <c r="HM13" s="91"/>
      <c r="HN13" s="91"/>
      <c r="HO13" s="91"/>
      <c r="HP13" s="91"/>
      <c r="HQ13" s="91"/>
      <c r="HR13" s="91"/>
      <c r="HS13" s="91"/>
      <c r="HT13" s="91"/>
      <c r="HU13" s="91"/>
      <c r="HV13" s="91"/>
      <c r="HW13" s="91"/>
      <c r="HX13" s="91"/>
      <c r="HY13" s="91"/>
      <c r="HZ13" s="91"/>
      <c r="IA13" s="91"/>
      <c r="IB13" s="91"/>
      <c r="IC13" s="91"/>
      <c r="ID13" s="91"/>
      <c r="IE13" s="91"/>
      <c r="IF13" s="91"/>
      <c r="IG13" s="98"/>
      <c r="IH13" s="98"/>
    </row>
    <row r="14" spans="1:242" s="99" customFormat="1" ht="15" customHeight="1" thickTop="1" thickBot="1" x14ac:dyDescent="0.3">
      <c r="A14" s="187" t="s">
        <v>274</v>
      </c>
      <c r="B14" s="188"/>
      <c r="C14" s="204" t="s">
        <v>275</v>
      </c>
      <c r="D14" s="204"/>
      <c r="E14" s="204"/>
      <c r="F14" s="204"/>
      <c r="G14" s="204"/>
      <c r="H14" s="101"/>
      <c r="I14" s="85"/>
      <c r="J14" s="85"/>
      <c r="K14" s="85"/>
      <c r="L14" s="86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98"/>
      <c r="IH14" s="98"/>
    </row>
    <row r="15" spans="1:242" s="99" customFormat="1" ht="15" customHeight="1" thickTop="1" thickBot="1" x14ac:dyDescent="0.3">
      <c r="A15" s="192" t="s">
        <v>276</v>
      </c>
      <c r="B15" s="193"/>
      <c r="C15" s="193"/>
      <c r="D15" s="193"/>
      <c r="E15" s="193"/>
      <c r="F15" s="193"/>
      <c r="G15" s="194"/>
      <c r="H15" s="97"/>
      <c r="I15" s="85"/>
      <c r="J15" s="85"/>
      <c r="K15" s="85"/>
      <c r="L15" s="86"/>
      <c r="M15" s="85"/>
      <c r="N15" s="85"/>
      <c r="O15" s="85"/>
      <c r="P15" s="85"/>
      <c r="Q15" s="85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  <c r="GH15" s="91"/>
      <c r="GI15" s="91"/>
      <c r="GJ15" s="91"/>
      <c r="GK15" s="91"/>
      <c r="GL15" s="91"/>
      <c r="GM15" s="91"/>
      <c r="GN15" s="91"/>
      <c r="GO15" s="91"/>
      <c r="GP15" s="91"/>
      <c r="GQ15" s="91"/>
      <c r="GR15" s="91"/>
      <c r="GS15" s="91"/>
      <c r="GT15" s="91"/>
      <c r="GU15" s="91"/>
      <c r="GV15" s="91"/>
      <c r="GW15" s="91"/>
      <c r="GX15" s="91"/>
      <c r="GY15" s="91"/>
      <c r="GZ15" s="91"/>
      <c r="HA15" s="91"/>
      <c r="HB15" s="91"/>
      <c r="HC15" s="91"/>
      <c r="HD15" s="91"/>
      <c r="HE15" s="91"/>
      <c r="HF15" s="91"/>
      <c r="HG15" s="91"/>
      <c r="HH15" s="91"/>
      <c r="HI15" s="91"/>
      <c r="HJ15" s="91"/>
      <c r="HK15" s="91"/>
      <c r="HL15" s="91"/>
      <c r="HM15" s="91"/>
      <c r="HN15" s="91"/>
      <c r="HO15" s="91"/>
      <c r="HP15" s="91"/>
      <c r="HQ15" s="91"/>
      <c r="HR15" s="91"/>
      <c r="HS15" s="91"/>
      <c r="HT15" s="91"/>
      <c r="HU15" s="91"/>
      <c r="HV15" s="91"/>
      <c r="HW15" s="91"/>
      <c r="HX15" s="91"/>
      <c r="HY15" s="91"/>
      <c r="HZ15" s="91"/>
      <c r="IA15" s="91"/>
      <c r="IB15" s="91"/>
      <c r="IC15" s="91"/>
      <c r="ID15" s="91"/>
      <c r="IE15" s="91"/>
      <c r="IF15" s="91"/>
      <c r="IG15" s="98"/>
      <c r="IH15" s="98"/>
    </row>
    <row r="16" spans="1:242" s="99" customFormat="1" ht="15" customHeight="1" thickTop="1" thickBot="1" x14ac:dyDescent="0.3">
      <c r="A16" s="187" t="s">
        <v>277</v>
      </c>
      <c r="B16" s="188"/>
      <c r="C16" s="198" t="s">
        <v>278</v>
      </c>
      <c r="D16" s="199"/>
      <c r="E16" s="199"/>
      <c r="F16" s="199"/>
      <c r="G16" s="200"/>
      <c r="H16" s="97"/>
      <c r="I16" s="85"/>
      <c r="J16" s="85"/>
      <c r="K16" s="85"/>
      <c r="L16" s="86"/>
      <c r="M16" s="85"/>
      <c r="N16" s="85"/>
      <c r="O16" s="85"/>
      <c r="P16" s="85"/>
      <c r="Q16" s="85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  <c r="GH16" s="91"/>
      <c r="GI16" s="91"/>
      <c r="GJ16" s="91"/>
      <c r="GK16" s="91"/>
      <c r="GL16" s="91"/>
      <c r="GM16" s="91"/>
      <c r="GN16" s="91"/>
      <c r="GO16" s="91"/>
      <c r="GP16" s="91"/>
      <c r="GQ16" s="91"/>
      <c r="GR16" s="91"/>
      <c r="GS16" s="91"/>
      <c r="GT16" s="91"/>
      <c r="GU16" s="91"/>
      <c r="GV16" s="91"/>
      <c r="GW16" s="91"/>
      <c r="GX16" s="91"/>
      <c r="GY16" s="91"/>
      <c r="GZ16" s="91"/>
      <c r="HA16" s="91"/>
      <c r="HB16" s="91"/>
      <c r="HC16" s="91"/>
      <c r="HD16" s="91"/>
      <c r="HE16" s="91"/>
      <c r="HF16" s="91"/>
      <c r="HG16" s="91"/>
      <c r="HH16" s="91"/>
      <c r="HI16" s="91"/>
      <c r="HJ16" s="91"/>
      <c r="HK16" s="91"/>
      <c r="HL16" s="91"/>
      <c r="HM16" s="91"/>
      <c r="HN16" s="91"/>
      <c r="HO16" s="91"/>
      <c r="HP16" s="91"/>
      <c r="HQ16" s="91"/>
      <c r="HR16" s="91"/>
      <c r="HS16" s="91"/>
      <c r="HT16" s="91"/>
      <c r="HU16" s="91"/>
      <c r="HV16" s="91"/>
      <c r="HW16" s="91"/>
      <c r="HX16" s="91"/>
      <c r="HY16" s="91"/>
      <c r="HZ16" s="91"/>
      <c r="IA16" s="91"/>
      <c r="IB16" s="91"/>
      <c r="IC16" s="91"/>
      <c r="ID16" s="91"/>
      <c r="IE16" s="91"/>
      <c r="IF16" s="91"/>
      <c r="IG16" s="98"/>
      <c r="IH16" s="98"/>
    </row>
    <row r="17" spans="1:242" s="99" customFormat="1" ht="15" customHeight="1" thickTop="1" thickBot="1" x14ac:dyDescent="0.3">
      <c r="A17" s="187" t="s">
        <v>279</v>
      </c>
      <c r="B17" s="188"/>
      <c r="C17" s="198" t="s">
        <v>280</v>
      </c>
      <c r="D17" s="199"/>
      <c r="E17" s="200"/>
      <c r="F17" s="126" t="s">
        <v>264</v>
      </c>
      <c r="G17" s="125" t="s">
        <v>281</v>
      </c>
      <c r="H17" s="97"/>
      <c r="I17" s="85"/>
      <c r="J17" s="85"/>
      <c r="K17" s="85"/>
      <c r="L17" s="86"/>
      <c r="M17" s="85"/>
      <c r="N17" s="85"/>
      <c r="O17" s="85"/>
      <c r="P17" s="85"/>
      <c r="Q17" s="85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  <c r="HU17" s="91"/>
      <c r="HV17" s="91"/>
      <c r="HW17" s="91"/>
      <c r="HX17" s="91"/>
      <c r="HY17" s="91"/>
      <c r="HZ17" s="91"/>
      <c r="IA17" s="91"/>
      <c r="IB17" s="91"/>
      <c r="IC17" s="91"/>
      <c r="ID17" s="91"/>
      <c r="IE17" s="91"/>
      <c r="IF17" s="91"/>
      <c r="IG17" s="98"/>
      <c r="IH17" s="98"/>
    </row>
    <row r="18" spans="1:242" s="99" customFormat="1" ht="15" customHeight="1" thickTop="1" thickBot="1" x14ac:dyDescent="0.3">
      <c r="A18" s="187" t="s">
        <v>282</v>
      </c>
      <c r="B18" s="188"/>
      <c r="C18" s="201">
        <v>2000002011949</v>
      </c>
      <c r="D18" s="202"/>
      <c r="E18" s="203"/>
      <c r="F18" s="126" t="s">
        <v>268</v>
      </c>
      <c r="G18" s="125" t="s">
        <v>283</v>
      </c>
      <c r="H18" s="97"/>
      <c r="I18" s="85"/>
      <c r="J18" s="85"/>
      <c r="K18" s="85"/>
      <c r="L18" s="86"/>
      <c r="M18" s="85"/>
      <c r="N18" s="85"/>
      <c r="O18" s="85"/>
      <c r="P18" s="85"/>
      <c r="Q18" s="85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  <c r="GH18" s="91"/>
      <c r="GI18" s="91"/>
      <c r="GJ18" s="91"/>
      <c r="GK18" s="91"/>
      <c r="GL18" s="91"/>
      <c r="GM18" s="91"/>
      <c r="GN18" s="91"/>
      <c r="GO18" s="91"/>
      <c r="GP18" s="91"/>
      <c r="GQ18" s="91"/>
      <c r="GR18" s="91"/>
      <c r="GS18" s="91"/>
      <c r="GT18" s="91"/>
      <c r="GU18" s="91"/>
      <c r="GV18" s="91"/>
      <c r="GW18" s="91"/>
      <c r="GX18" s="91"/>
      <c r="GY18" s="91"/>
      <c r="GZ18" s="91"/>
      <c r="HA18" s="91"/>
      <c r="HB18" s="91"/>
      <c r="HC18" s="91"/>
      <c r="HD18" s="91"/>
      <c r="HE18" s="91"/>
      <c r="HF18" s="91"/>
      <c r="HG18" s="91"/>
      <c r="HH18" s="91"/>
      <c r="HI18" s="91"/>
      <c r="HJ18" s="91"/>
      <c r="HK18" s="91"/>
      <c r="HL18" s="91"/>
      <c r="HM18" s="91"/>
      <c r="HN18" s="91"/>
      <c r="HO18" s="91"/>
      <c r="HP18" s="91"/>
      <c r="HQ18" s="91"/>
      <c r="HR18" s="91"/>
      <c r="HS18" s="91"/>
      <c r="HT18" s="91"/>
      <c r="HU18" s="91"/>
      <c r="HV18" s="91"/>
      <c r="HW18" s="91"/>
      <c r="HX18" s="91"/>
      <c r="HY18" s="91"/>
      <c r="HZ18" s="91"/>
      <c r="IA18" s="91"/>
      <c r="IB18" s="91"/>
      <c r="IC18" s="91"/>
      <c r="ID18" s="91"/>
      <c r="IE18" s="91"/>
      <c r="IF18" s="91"/>
      <c r="IG18" s="98"/>
      <c r="IH18" s="98"/>
    </row>
    <row r="19" spans="1:242" s="99" customFormat="1" ht="15" customHeight="1" thickTop="1" thickBot="1" x14ac:dyDescent="0.3">
      <c r="A19" s="187" t="s">
        <v>284</v>
      </c>
      <c r="B19" s="188"/>
      <c r="C19" s="198" t="s">
        <v>285</v>
      </c>
      <c r="D19" s="199"/>
      <c r="E19" s="200"/>
      <c r="F19" s="126" t="s">
        <v>286</v>
      </c>
      <c r="G19" s="125" t="s">
        <v>287</v>
      </c>
      <c r="H19" s="97"/>
      <c r="I19" s="85"/>
      <c r="J19" s="85"/>
      <c r="K19" s="85"/>
      <c r="L19" s="86"/>
      <c r="M19" s="85"/>
      <c r="N19" s="85"/>
      <c r="O19" s="85"/>
      <c r="P19" s="85"/>
      <c r="Q19" s="85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  <c r="GH19" s="91"/>
      <c r="GI19" s="91"/>
      <c r="GJ19" s="91"/>
      <c r="GK19" s="91"/>
      <c r="GL19" s="91"/>
      <c r="GM19" s="91"/>
      <c r="GN19" s="91"/>
      <c r="GO19" s="91"/>
      <c r="GP19" s="91"/>
      <c r="GQ19" s="91"/>
      <c r="GR19" s="91"/>
      <c r="GS19" s="91"/>
      <c r="GT19" s="91"/>
      <c r="GU19" s="91"/>
      <c r="GV19" s="91"/>
      <c r="GW19" s="91"/>
      <c r="GX19" s="91"/>
      <c r="GY19" s="91"/>
      <c r="GZ19" s="91"/>
      <c r="HA19" s="91"/>
      <c r="HB19" s="91"/>
      <c r="HC19" s="91"/>
      <c r="HD19" s="91"/>
      <c r="HE19" s="91"/>
      <c r="HF19" s="91"/>
      <c r="HG19" s="91"/>
      <c r="HH19" s="91"/>
      <c r="HI19" s="91"/>
      <c r="HJ19" s="91"/>
      <c r="HK19" s="91"/>
      <c r="HL19" s="91"/>
      <c r="HM19" s="91"/>
      <c r="HN19" s="91"/>
      <c r="HO19" s="91"/>
      <c r="HP19" s="91"/>
      <c r="HQ19" s="91"/>
      <c r="HR19" s="91"/>
      <c r="HS19" s="91"/>
      <c r="HT19" s="91"/>
      <c r="HU19" s="91"/>
      <c r="HV19" s="91"/>
      <c r="HW19" s="91"/>
      <c r="HX19" s="91"/>
      <c r="HY19" s="91"/>
      <c r="HZ19" s="91"/>
      <c r="IA19" s="91"/>
      <c r="IB19" s="91"/>
      <c r="IC19" s="91"/>
      <c r="ID19" s="91"/>
      <c r="IE19" s="91"/>
      <c r="IF19" s="91"/>
      <c r="IG19" s="98"/>
      <c r="IH19" s="98"/>
    </row>
    <row r="20" spans="1:242" s="99" customFormat="1" ht="15" customHeight="1" thickTop="1" thickBot="1" x14ac:dyDescent="0.3">
      <c r="A20" s="187" t="s">
        <v>288</v>
      </c>
      <c r="B20" s="188"/>
      <c r="C20" s="198" t="s">
        <v>289</v>
      </c>
      <c r="D20" s="199"/>
      <c r="E20" s="199"/>
      <c r="F20" s="199"/>
      <c r="G20" s="200"/>
      <c r="H20" s="97"/>
      <c r="I20" s="85"/>
      <c r="J20" s="85"/>
      <c r="K20" s="85"/>
      <c r="L20" s="86"/>
      <c r="M20" s="85"/>
      <c r="N20" s="85"/>
      <c r="O20" s="85"/>
      <c r="P20" s="85"/>
      <c r="Q20" s="85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  <c r="GH20" s="91"/>
      <c r="GI20" s="91"/>
      <c r="GJ20" s="91"/>
      <c r="GK20" s="91"/>
      <c r="GL20" s="91"/>
      <c r="GM20" s="91"/>
      <c r="GN20" s="91"/>
      <c r="GO20" s="91"/>
      <c r="GP20" s="91"/>
      <c r="GQ20" s="91"/>
      <c r="GR20" s="91"/>
      <c r="GS20" s="91"/>
      <c r="GT20" s="91"/>
      <c r="GU20" s="91"/>
      <c r="GV20" s="91"/>
      <c r="GW20" s="91"/>
      <c r="GX20" s="91"/>
      <c r="GY20" s="91"/>
      <c r="GZ20" s="91"/>
      <c r="HA20" s="91"/>
      <c r="HB20" s="91"/>
      <c r="HC20" s="91"/>
      <c r="HD20" s="91"/>
      <c r="HE20" s="91"/>
      <c r="HF20" s="91"/>
      <c r="HG20" s="91"/>
      <c r="HH20" s="91"/>
      <c r="HI20" s="91"/>
      <c r="HJ20" s="91"/>
      <c r="HK20" s="91"/>
      <c r="HL20" s="91"/>
      <c r="HM20" s="91"/>
      <c r="HN20" s="91"/>
      <c r="HO20" s="91"/>
      <c r="HP20" s="91"/>
      <c r="HQ20" s="91"/>
      <c r="HR20" s="91"/>
      <c r="HS20" s="91"/>
      <c r="HT20" s="91"/>
      <c r="HU20" s="91"/>
      <c r="HV20" s="91"/>
      <c r="HW20" s="91"/>
      <c r="HX20" s="91"/>
      <c r="HY20" s="91"/>
      <c r="HZ20" s="91"/>
      <c r="IA20" s="91"/>
      <c r="IB20" s="91"/>
      <c r="IC20" s="91"/>
      <c r="ID20" s="91"/>
      <c r="IE20" s="91"/>
      <c r="IF20" s="91"/>
      <c r="IG20" s="98"/>
      <c r="IH20" s="98"/>
    </row>
    <row r="21" spans="1:242" s="99" customFormat="1" ht="15" customHeight="1" thickTop="1" thickBot="1" x14ac:dyDescent="0.3">
      <c r="A21" s="187" t="s">
        <v>266</v>
      </c>
      <c r="B21" s="188"/>
      <c r="C21" s="201" t="s">
        <v>290</v>
      </c>
      <c r="D21" s="202"/>
      <c r="E21" s="202"/>
      <c r="F21" s="126" t="s">
        <v>268</v>
      </c>
      <c r="G21" s="125" t="s">
        <v>269</v>
      </c>
      <c r="H21" s="97"/>
      <c r="I21" s="85"/>
      <c r="J21" s="85"/>
      <c r="K21" s="85"/>
      <c r="L21" s="86"/>
      <c r="M21" s="85"/>
      <c r="N21" s="85"/>
      <c r="O21" s="85"/>
      <c r="P21" s="85"/>
      <c r="Q21" s="85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  <c r="GH21" s="91"/>
      <c r="GI21" s="91"/>
      <c r="GJ21" s="91"/>
      <c r="GK21" s="91"/>
      <c r="GL21" s="91"/>
      <c r="GM21" s="91"/>
      <c r="GN21" s="91"/>
      <c r="GO21" s="91"/>
      <c r="GP21" s="91"/>
      <c r="GQ21" s="91"/>
      <c r="GR21" s="91"/>
      <c r="GS21" s="91"/>
      <c r="GT21" s="91"/>
      <c r="GU21" s="91"/>
      <c r="GV21" s="91"/>
      <c r="GW21" s="91"/>
      <c r="GX21" s="91"/>
      <c r="GY21" s="91"/>
      <c r="GZ21" s="91"/>
      <c r="HA21" s="91"/>
      <c r="HB21" s="91"/>
      <c r="HC21" s="91"/>
      <c r="HD21" s="91"/>
      <c r="HE21" s="91"/>
      <c r="HF21" s="91"/>
      <c r="HG21" s="91"/>
      <c r="HH21" s="91"/>
      <c r="HI21" s="91"/>
      <c r="HJ21" s="91"/>
      <c r="HK21" s="91"/>
      <c r="HL21" s="91"/>
      <c r="HM21" s="91"/>
      <c r="HN21" s="91"/>
      <c r="HO21" s="91"/>
      <c r="HP21" s="91"/>
      <c r="HQ21" s="91"/>
      <c r="HR21" s="91"/>
      <c r="HS21" s="91"/>
      <c r="HT21" s="91"/>
      <c r="HU21" s="91"/>
      <c r="HV21" s="91"/>
      <c r="HW21" s="91"/>
      <c r="HX21" s="91"/>
      <c r="HY21" s="91"/>
      <c r="HZ21" s="91"/>
      <c r="IA21" s="91"/>
      <c r="IB21" s="91"/>
      <c r="IC21" s="91"/>
      <c r="ID21" s="91"/>
      <c r="IE21" s="91"/>
      <c r="IF21" s="91"/>
      <c r="IG21" s="98"/>
      <c r="IH21" s="98"/>
    </row>
    <row r="22" spans="1:242" s="99" customFormat="1" ht="15" customHeight="1" thickTop="1" thickBot="1" x14ac:dyDescent="0.3">
      <c r="A22" s="187" t="s">
        <v>270</v>
      </c>
      <c r="B22" s="188"/>
      <c r="C22" s="201" t="s">
        <v>291</v>
      </c>
      <c r="D22" s="202"/>
      <c r="E22" s="202"/>
      <c r="F22" s="126" t="s">
        <v>272</v>
      </c>
      <c r="G22" s="125" t="s">
        <v>292</v>
      </c>
      <c r="H22" s="97"/>
      <c r="I22" s="85"/>
      <c r="J22" s="85"/>
      <c r="K22" s="85"/>
      <c r="L22" s="86"/>
      <c r="M22" s="85"/>
      <c r="N22" s="85"/>
      <c r="O22" s="85"/>
      <c r="P22" s="85"/>
      <c r="Q22" s="85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8"/>
      <c r="IH22" s="98"/>
    </row>
    <row r="23" spans="1:242" s="99" customFormat="1" ht="15" customHeight="1" thickTop="1" thickBot="1" x14ac:dyDescent="0.3">
      <c r="A23" s="187" t="s">
        <v>274</v>
      </c>
      <c r="B23" s="188"/>
      <c r="C23" s="189" t="s">
        <v>275</v>
      </c>
      <c r="D23" s="190"/>
      <c r="E23" s="190"/>
      <c r="F23" s="190"/>
      <c r="G23" s="191"/>
      <c r="H23" s="101"/>
      <c r="I23" s="85"/>
      <c r="J23" s="85"/>
      <c r="K23" s="85"/>
      <c r="L23" s="86"/>
      <c r="M23" s="85"/>
      <c r="N23" s="85"/>
      <c r="O23" s="85"/>
      <c r="P23" s="85"/>
      <c r="Q23" s="85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S23" s="91"/>
      <c r="GT23" s="91"/>
      <c r="GU23" s="91"/>
      <c r="GV23" s="91"/>
      <c r="GW23" s="91"/>
      <c r="GX23" s="91"/>
      <c r="GY23" s="91"/>
      <c r="GZ23" s="91"/>
      <c r="HA23" s="91"/>
      <c r="HB23" s="91"/>
      <c r="HC23" s="91"/>
      <c r="HD23" s="91"/>
      <c r="HE23" s="91"/>
      <c r="HF23" s="91"/>
      <c r="HG23" s="91"/>
      <c r="HH23" s="91"/>
      <c r="HI23" s="91"/>
      <c r="HJ23" s="91"/>
      <c r="HK23" s="91"/>
      <c r="HL23" s="91"/>
      <c r="HM23" s="91"/>
      <c r="HN23" s="91"/>
      <c r="HO23" s="91"/>
      <c r="HP23" s="91"/>
      <c r="HQ23" s="91"/>
      <c r="HR23" s="91"/>
      <c r="HS23" s="91"/>
      <c r="HT23" s="91"/>
      <c r="HU23" s="91"/>
      <c r="HV23" s="91"/>
      <c r="HW23" s="91"/>
      <c r="HX23" s="91"/>
      <c r="HY23" s="91"/>
      <c r="HZ23" s="91"/>
      <c r="IA23" s="91"/>
      <c r="IB23" s="91"/>
      <c r="IC23" s="91"/>
      <c r="ID23" s="91"/>
      <c r="IE23" s="91"/>
      <c r="IF23" s="91"/>
      <c r="IG23" s="98"/>
      <c r="IH23" s="98"/>
    </row>
    <row r="24" spans="1:242" s="99" customFormat="1" ht="15" customHeight="1" thickTop="1" thickBot="1" x14ac:dyDescent="0.3">
      <c r="A24" s="192" t="s">
        <v>293</v>
      </c>
      <c r="B24" s="193"/>
      <c r="C24" s="193"/>
      <c r="D24" s="193"/>
      <c r="E24" s="193"/>
      <c r="F24" s="193"/>
      <c r="G24" s="194"/>
      <c r="H24" s="97"/>
      <c r="I24" s="85"/>
      <c r="J24" s="85"/>
      <c r="K24" s="85"/>
      <c r="L24" s="86"/>
      <c r="M24" s="85"/>
      <c r="N24" s="85"/>
      <c r="O24" s="85"/>
      <c r="P24" s="85"/>
      <c r="Q24" s="85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8"/>
      <c r="IH24" s="98"/>
    </row>
    <row r="25" spans="1:242" s="99" customFormat="1" ht="15" customHeight="1" thickTop="1" thickBot="1" x14ac:dyDescent="0.3">
      <c r="A25" s="187" t="s">
        <v>308</v>
      </c>
      <c r="B25" s="197"/>
      <c r="C25" s="197"/>
      <c r="D25" s="197"/>
      <c r="E25" s="197"/>
      <c r="F25" s="197"/>
      <c r="G25" s="188"/>
      <c r="H25" s="102"/>
      <c r="I25" s="85"/>
      <c r="J25" s="85"/>
      <c r="K25" s="85"/>
      <c r="L25" s="86"/>
      <c r="M25" s="85"/>
      <c r="N25" s="85"/>
      <c r="O25" s="85"/>
      <c r="P25" s="85"/>
      <c r="Q25" s="85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  <c r="GH25" s="91"/>
      <c r="GI25" s="91"/>
      <c r="GJ25" s="91"/>
      <c r="GK25" s="91"/>
      <c r="GL25" s="91"/>
      <c r="GM25" s="91"/>
      <c r="GN25" s="91"/>
      <c r="GO25" s="91"/>
      <c r="GP25" s="91"/>
      <c r="GQ25" s="91"/>
      <c r="GR25" s="91"/>
      <c r="GS25" s="91"/>
      <c r="GT25" s="91"/>
      <c r="GU25" s="91"/>
      <c r="GV25" s="91"/>
      <c r="GW25" s="91"/>
      <c r="GX25" s="91"/>
      <c r="GY25" s="91"/>
      <c r="GZ25" s="91"/>
      <c r="HA25" s="91"/>
      <c r="HB25" s="91"/>
      <c r="HC25" s="91"/>
      <c r="HD25" s="91"/>
      <c r="HE25" s="91"/>
      <c r="HF25" s="91"/>
      <c r="HG25" s="91"/>
      <c r="HH25" s="91"/>
      <c r="HI25" s="91"/>
      <c r="HJ25" s="91"/>
      <c r="HK25" s="91"/>
      <c r="HL25" s="91"/>
      <c r="HM25" s="91"/>
      <c r="HN25" s="91"/>
      <c r="HO25" s="91"/>
      <c r="HP25" s="91"/>
      <c r="HQ25" s="91"/>
      <c r="HR25" s="91"/>
      <c r="HS25" s="91"/>
      <c r="HT25" s="91"/>
      <c r="HU25" s="91"/>
      <c r="HV25" s="91"/>
      <c r="HW25" s="91"/>
      <c r="HX25" s="91"/>
      <c r="HY25" s="91"/>
      <c r="HZ25" s="91"/>
      <c r="IA25" s="91"/>
      <c r="IB25" s="91"/>
      <c r="IC25" s="91"/>
      <c r="ID25" s="91"/>
      <c r="IE25" s="91"/>
      <c r="IF25" s="91"/>
      <c r="IG25" s="98"/>
      <c r="IH25" s="98"/>
    </row>
    <row r="26" spans="1:242" s="99" customFormat="1" ht="15" customHeight="1" thickTop="1" thickBot="1" x14ac:dyDescent="0.3">
      <c r="A26" s="187" t="s">
        <v>309</v>
      </c>
      <c r="B26" s="188"/>
      <c r="C26" s="197" t="s">
        <v>306</v>
      </c>
      <c r="D26" s="197"/>
      <c r="E26" s="188"/>
      <c r="F26" s="195" t="s">
        <v>307</v>
      </c>
      <c r="G26" s="196"/>
      <c r="H26" s="102"/>
      <c r="I26" s="98"/>
      <c r="J26" s="98"/>
      <c r="K26" s="98"/>
      <c r="L26" s="86"/>
      <c r="M26" s="98"/>
      <c r="N26" s="98"/>
      <c r="O26" s="98"/>
      <c r="P26" s="98"/>
      <c r="Q26" s="98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</row>
    <row r="27" spans="1:242" s="99" customFormat="1" ht="7.5" customHeight="1" thickTop="1" thickBot="1" x14ac:dyDescent="0.3">
      <c r="A27" s="177"/>
      <c r="B27" s="177"/>
      <c r="C27" s="177"/>
      <c r="D27" s="177"/>
      <c r="E27" s="177"/>
      <c r="F27" s="177"/>
      <c r="G27" s="177"/>
      <c r="H27" s="102"/>
      <c r="I27" s="98"/>
      <c r="J27" s="98"/>
      <c r="K27" s="98"/>
      <c r="L27" s="86"/>
      <c r="M27" s="98"/>
      <c r="N27" s="98"/>
      <c r="O27" s="98"/>
      <c r="P27" s="98"/>
      <c r="Q27" s="98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</row>
    <row r="28" spans="1:242" ht="15" customHeight="1" thickTop="1" thickBot="1" x14ac:dyDescent="0.3">
      <c r="A28" s="178" t="s">
        <v>294</v>
      </c>
      <c r="B28" s="178"/>
      <c r="C28" s="178"/>
      <c r="D28" s="178"/>
      <c r="E28" s="178"/>
      <c r="F28" s="178"/>
      <c r="G28" s="178"/>
      <c r="H28" s="104"/>
    </row>
    <row r="29" spans="1:242" s="85" customFormat="1" ht="93" customHeight="1" thickTop="1" thickBot="1" x14ac:dyDescent="0.3">
      <c r="A29" s="179" t="s">
        <v>303</v>
      </c>
      <c r="B29" s="179"/>
      <c r="C29" s="179"/>
      <c r="D29" s="179"/>
      <c r="E29" s="179"/>
      <c r="F29" s="179"/>
      <c r="G29" s="179"/>
      <c r="H29" s="105"/>
      <c r="L29" s="86"/>
    </row>
    <row r="30" spans="1:242" s="111" customFormat="1" ht="15" customHeight="1" thickTop="1" thickBot="1" x14ac:dyDescent="0.3">
      <c r="A30" s="180" t="s">
        <v>295</v>
      </c>
      <c r="B30" s="180"/>
      <c r="C30" s="180"/>
      <c r="D30" s="180"/>
      <c r="E30" s="180"/>
      <c r="F30" s="180"/>
      <c r="G30" s="180"/>
      <c r="H30" s="106"/>
      <c r="I30" s="107"/>
      <c r="J30" s="108"/>
      <c r="K30" s="108"/>
      <c r="L30" s="109"/>
      <c r="M30" s="108"/>
      <c r="N30" s="108"/>
      <c r="O30" s="108"/>
      <c r="P30" s="110"/>
      <c r="Q30" s="110"/>
    </row>
    <row r="31" spans="1:242" s="111" customFormat="1" ht="15" customHeight="1" thickTop="1" thickBot="1" x14ac:dyDescent="0.3">
      <c r="A31" s="184" t="s">
        <v>304</v>
      </c>
      <c r="B31" s="185"/>
      <c r="C31" s="185"/>
      <c r="D31" s="185"/>
      <c r="E31" s="185"/>
      <c r="F31" s="185"/>
      <c r="G31" s="186"/>
      <c r="H31"/>
      <c r="I31"/>
      <c r="J31"/>
      <c r="K31"/>
      <c r="L31"/>
      <c r="M31"/>
      <c r="N31"/>
      <c r="O31" s="108"/>
      <c r="P31" s="110"/>
      <c r="Q31" s="110"/>
    </row>
    <row r="32" spans="1:242" s="113" customFormat="1" ht="15" customHeight="1" thickTop="1" thickBot="1" x14ac:dyDescent="0.3">
      <c r="A32" s="112" t="s">
        <v>2</v>
      </c>
      <c r="B32" s="175" t="s">
        <v>305</v>
      </c>
      <c r="C32" s="176"/>
      <c r="D32" s="176"/>
      <c r="E32" s="176"/>
      <c r="F32" s="176"/>
      <c r="G32" s="135">
        <f>Total!G53</f>
        <v>2141862.1200000006</v>
      </c>
      <c r="H32"/>
      <c r="I32"/>
      <c r="J32"/>
      <c r="K32"/>
      <c r="L32"/>
      <c r="M32"/>
      <c r="N32"/>
      <c r="O32" s="108"/>
      <c r="P32" s="110"/>
      <c r="Q32" s="110"/>
    </row>
    <row r="33" spans="1:17" s="114" customFormat="1" ht="15" customHeight="1" thickTop="1" thickBot="1" x14ac:dyDescent="0.3">
      <c r="A33" s="112" t="s">
        <v>4</v>
      </c>
      <c r="B33" s="175" t="s">
        <v>94</v>
      </c>
      <c r="C33" s="176"/>
      <c r="D33" s="176"/>
      <c r="E33" s="176"/>
      <c r="F33" s="176"/>
      <c r="G33" s="135">
        <f>Total!G54</f>
        <v>236009.52</v>
      </c>
      <c r="H33"/>
      <c r="I33"/>
      <c r="J33"/>
      <c r="K33"/>
      <c r="L33"/>
      <c r="M33"/>
      <c r="N33"/>
      <c r="O33" s="108"/>
      <c r="P33" s="110"/>
      <c r="Q33" s="110"/>
    </row>
    <row r="34" spans="1:17" s="115" customFormat="1" ht="15" customHeight="1" thickTop="1" thickBot="1" x14ac:dyDescent="0.3">
      <c r="A34" s="172" t="s">
        <v>310</v>
      </c>
      <c r="B34" s="173"/>
      <c r="C34" s="173"/>
      <c r="D34" s="173"/>
      <c r="E34" s="173"/>
      <c r="F34" s="174"/>
      <c r="G34" s="136">
        <f>SUM(G32:G33)</f>
        <v>2377871.6400000006</v>
      </c>
      <c r="H34"/>
      <c r="I34"/>
      <c r="J34"/>
      <c r="K34"/>
      <c r="L34"/>
      <c r="M34"/>
      <c r="N34"/>
      <c r="O34" s="108"/>
      <c r="P34" s="110"/>
      <c r="Q34" s="110"/>
    </row>
    <row r="35" spans="1:17" s="113" customFormat="1" ht="15" customHeight="1" thickTop="1" thickBot="1" x14ac:dyDescent="0.3">
      <c r="A35" s="181"/>
      <c r="B35" s="182"/>
      <c r="C35" s="182"/>
      <c r="D35" s="182"/>
      <c r="E35" s="182"/>
      <c r="F35" s="182"/>
      <c r="G35" s="183"/>
      <c r="H35"/>
      <c r="I35"/>
      <c r="J35"/>
      <c r="K35"/>
      <c r="L35"/>
      <c r="M35"/>
      <c r="N35"/>
      <c r="O35" s="108"/>
      <c r="P35" s="110"/>
      <c r="Q35" s="110"/>
    </row>
    <row r="36" spans="1:17" s="115" customFormat="1" ht="15" customHeight="1" thickTop="1" thickBot="1" x14ac:dyDescent="0.3">
      <c r="A36" s="184" t="s">
        <v>311</v>
      </c>
      <c r="B36" s="185"/>
      <c r="C36" s="185"/>
      <c r="D36" s="185"/>
      <c r="E36" s="185"/>
      <c r="F36" s="185"/>
      <c r="G36" s="186"/>
      <c r="H36"/>
      <c r="I36" s="133"/>
      <c r="J36"/>
      <c r="K36"/>
      <c r="L36"/>
      <c r="M36"/>
      <c r="N36"/>
      <c r="O36" s="108"/>
      <c r="P36" s="110"/>
      <c r="Q36" s="110"/>
    </row>
    <row r="37" spans="1:17" s="114" customFormat="1" ht="15" customHeight="1" thickTop="1" thickBot="1" x14ac:dyDescent="0.3">
      <c r="A37" s="112" t="s">
        <v>2</v>
      </c>
      <c r="B37" s="175" t="s">
        <v>305</v>
      </c>
      <c r="C37" s="176"/>
      <c r="D37" s="176"/>
      <c r="E37" s="176"/>
      <c r="F37" s="176"/>
      <c r="G37" s="135">
        <f>Total!G59</f>
        <v>2141862.1200000006</v>
      </c>
      <c r="H37"/>
      <c r="I37"/>
      <c r="J37"/>
      <c r="K37"/>
      <c r="L37"/>
      <c r="M37"/>
      <c r="N37"/>
      <c r="O37" s="108"/>
      <c r="P37" s="110"/>
      <c r="Q37" s="110"/>
    </row>
    <row r="38" spans="1:17" s="115" customFormat="1" ht="15" customHeight="1" thickTop="1" thickBot="1" x14ac:dyDescent="0.3">
      <c r="A38" s="112" t="s">
        <v>4</v>
      </c>
      <c r="B38" s="175" t="s">
        <v>312</v>
      </c>
      <c r="C38" s="176"/>
      <c r="D38" s="176"/>
      <c r="E38" s="176"/>
      <c r="F38" s="176"/>
      <c r="G38" s="135">
        <f>Total!G60</f>
        <v>115813.6</v>
      </c>
      <c r="H38"/>
      <c r="I38"/>
      <c r="J38"/>
      <c r="K38"/>
      <c r="L38"/>
      <c r="M38"/>
      <c r="N38"/>
      <c r="O38" s="108"/>
      <c r="P38" s="110"/>
      <c r="Q38" s="110"/>
    </row>
    <row r="39" spans="1:17" s="113" customFormat="1" ht="15" customHeight="1" thickTop="1" thickBot="1" x14ac:dyDescent="0.3">
      <c r="A39" s="112" t="s">
        <v>6</v>
      </c>
      <c r="B39" s="175" t="s">
        <v>313</v>
      </c>
      <c r="C39" s="176"/>
      <c r="D39" s="176"/>
      <c r="E39" s="176"/>
      <c r="F39" s="176"/>
      <c r="G39" s="135">
        <f>Total!G61</f>
        <v>142209.15</v>
      </c>
      <c r="H39"/>
      <c r="I39"/>
      <c r="J39"/>
      <c r="K39"/>
      <c r="L39"/>
      <c r="M39"/>
      <c r="N39"/>
      <c r="O39" s="108"/>
      <c r="P39" s="110"/>
      <c r="Q39" s="110"/>
    </row>
    <row r="40" spans="1:17" s="115" customFormat="1" ht="15" customHeight="1" thickTop="1" thickBot="1" x14ac:dyDescent="0.3">
      <c r="A40" s="112" t="s">
        <v>8</v>
      </c>
      <c r="B40" s="175" t="s">
        <v>94</v>
      </c>
      <c r="C40" s="176"/>
      <c r="D40" s="176"/>
      <c r="E40" s="176"/>
      <c r="F40" s="176"/>
      <c r="G40" s="135">
        <f>Total!G62</f>
        <v>263294.19999999995</v>
      </c>
      <c r="H40"/>
      <c r="I40"/>
      <c r="J40"/>
      <c r="K40"/>
      <c r="L40"/>
      <c r="M40"/>
      <c r="N40"/>
      <c r="O40" s="108"/>
      <c r="P40" s="110"/>
      <c r="Q40" s="110"/>
    </row>
    <row r="41" spans="1:17" s="114" customFormat="1" ht="15" customHeight="1" thickTop="1" thickBot="1" x14ac:dyDescent="0.3">
      <c r="A41" s="172" t="s">
        <v>310</v>
      </c>
      <c r="B41" s="173"/>
      <c r="C41" s="173"/>
      <c r="D41" s="173"/>
      <c r="E41" s="173"/>
      <c r="F41" s="174"/>
      <c r="G41" s="136">
        <f>SUM(G37:G40)</f>
        <v>2663179.0700000003</v>
      </c>
      <c r="H41"/>
      <c r="I41"/>
      <c r="J41"/>
      <c r="K41"/>
      <c r="L41"/>
      <c r="M41"/>
      <c r="N41"/>
      <c r="O41" s="108"/>
      <c r="P41" s="110"/>
      <c r="Q41" s="110"/>
    </row>
    <row r="42" spans="1:17" s="115" customFormat="1" ht="15" customHeight="1" thickTop="1" thickBot="1" x14ac:dyDescent="0.3">
      <c r="A42" s="181"/>
      <c r="B42" s="182"/>
      <c r="C42" s="182"/>
      <c r="D42" s="182"/>
      <c r="E42" s="182"/>
      <c r="F42" s="182"/>
      <c r="G42" s="183"/>
      <c r="H42"/>
      <c r="I42"/>
      <c r="J42"/>
      <c r="K42"/>
      <c r="L42"/>
      <c r="M42"/>
      <c r="N42"/>
      <c r="O42" s="108"/>
      <c r="P42" s="110"/>
      <c r="Q42" s="110"/>
    </row>
    <row r="43" spans="1:17" s="113" customFormat="1" ht="15" customHeight="1" thickTop="1" thickBot="1" x14ac:dyDescent="0.3">
      <c r="A43" s="172" t="s">
        <v>314</v>
      </c>
      <c r="B43" s="173"/>
      <c r="C43" s="173"/>
      <c r="D43" s="173"/>
      <c r="E43" s="173"/>
      <c r="F43" s="174"/>
      <c r="G43" s="134">
        <f>G34+G41</f>
        <v>5041050.7100000009</v>
      </c>
      <c r="H43" s="143"/>
      <c r="I43"/>
      <c r="J43"/>
      <c r="K43"/>
      <c r="L43"/>
      <c r="M43"/>
      <c r="N43"/>
      <c r="O43" s="108"/>
      <c r="P43" s="110"/>
      <c r="Q43" s="110"/>
    </row>
    <row r="44" spans="1:17" s="115" customFormat="1" ht="15" customHeight="1" thickTop="1" thickBot="1" x14ac:dyDescent="0.3">
      <c r="A44" s="172" t="s">
        <v>371</v>
      </c>
      <c r="B44" s="173"/>
      <c r="C44" s="173"/>
      <c r="D44" s="173"/>
      <c r="E44" s="173"/>
      <c r="F44" s="173"/>
      <c r="G44" s="174"/>
      <c r="H44" s="144"/>
      <c r="I44"/>
      <c r="J44"/>
      <c r="K44"/>
      <c r="L44"/>
      <c r="M44"/>
      <c r="N44"/>
      <c r="O44" s="108"/>
      <c r="P44" s="110"/>
      <c r="Q44" s="110"/>
    </row>
    <row r="45" spans="1:17" ht="15" customHeight="1" thickTop="1" x14ac:dyDescent="0.25">
      <c r="A45" s="127"/>
      <c r="B45" s="127"/>
      <c r="C45" s="127"/>
      <c r="D45" s="127"/>
      <c r="E45" s="127"/>
      <c r="F45" s="127"/>
      <c r="G45" s="128"/>
      <c r="H45" s="116"/>
      <c r="I45" s="117"/>
      <c r="J45" s="118"/>
      <c r="K45" s="118"/>
      <c r="L45" s="117"/>
      <c r="M45" s="118"/>
    </row>
    <row r="46" spans="1:17" ht="30" customHeight="1" x14ac:dyDescent="0.25">
      <c r="A46" s="168" t="s">
        <v>317</v>
      </c>
      <c r="B46" s="169"/>
      <c r="C46" s="169"/>
      <c r="D46" s="169"/>
      <c r="E46" s="169"/>
      <c r="F46" s="169"/>
      <c r="G46" s="169"/>
      <c r="H46" s="119"/>
    </row>
    <row r="47" spans="1:17" ht="9.9499999999999993" customHeight="1" x14ac:dyDescent="0.25">
      <c r="A47" s="129"/>
      <c r="B47" s="129"/>
      <c r="C47" s="129"/>
      <c r="D47" s="129"/>
      <c r="E47" s="129"/>
      <c r="F47" s="129"/>
      <c r="G47" s="129"/>
      <c r="H47" s="119"/>
    </row>
    <row r="48" spans="1:17" ht="15" customHeight="1" x14ac:dyDescent="0.25">
      <c r="A48" s="170" t="s">
        <v>315</v>
      </c>
      <c r="B48" s="170"/>
      <c r="C48" s="170"/>
      <c r="D48" s="170"/>
      <c r="E48" s="170"/>
      <c r="F48" s="170"/>
      <c r="G48" s="170"/>
      <c r="H48" s="119"/>
    </row>
    <row r="49" spans="1:242" ht="9.9499999999999993" customHeight="1" x14ac:dyDescent="0.25">
      <c r="A49" s="129"/>
      <c r="B49" s="129"/>
      <c r="C49" s="129"/>
      <c r="D49" s="129"/>
      <c r="E49" s="129"/>
      <c r="F49" s="129"/>
      <c r="G49" s="129"/>
      <c r="H49" s="116"/>
    </row>
    <row r="50" spans="1:242" ht="15" customHeight="1" x14ac:dyDescent="0.25">
      <c r="A50" s="171" t="s">
        <v>316</v>
      </c>
      <c r="B50" s="171"/>
      <c r="C50" s="171"/>
      <c r="D50" s="171"/>
      <c r="E50" s="171"/>
      <c r="F50" s="171"/>
      <c r="G50" s="171"/>
      <c r="H50" s="121"/>
    </row>
    <row r="51" spans="1:242" ht="9.9499999999999993" customHeight="1" x14ac:dyDescent="0.25">
      <c r="A51" s="129"/>
      <c r="B51" s="129"/>
      <c r="C51" s="129"/>
      <c r="D51" s="129"/>
      <c r="E51" s="129"/>
      <c r="F51" s="129"/>
      <c r="G51" s="129"/>
      <c r="H51" s="123"/>
    </row>
    <row r="52" spans="1:242" s="132" customFormat="1" ht="42.95" customHeight="1" x14ac:dyDescent="0.25">
      <c r="A52" s="168"/>
      <c r="B52" s="168"/>
      <c r="C52" s="168"/>
      <c r="D52" s="168"/>
      <c r="E52" s="168"/>
      <c r="F52" s="168"/>
      <c r="G52" s="168"/>
      <c r="H52" s="130"/>
      <c r="I52" s="130"/>
      <c r="J52" s="130"/>
      <c r="K52" s="130"/>
      <c r="L52" s="131"/>
      <c r="M52" s="130"/>
      <c r="N52" s="130"/>
      <c r="O52" s="130"/>
      <c r="P52" s="130"/>
      <c r="Q52" s="130"/>
    </row>
    <row r="53" spans="1:242" ht="15" customHeight="1" x14ac:dyDescent="0.25">
      <c r="A53" s="120"/>
      <c r="B53" s="120"/>
      <c r="C53" s="120"/>
      <c r="D53" s="120"/>
      <c r="E53" s="120"/>
      <c r="F53" s="120"/>
      <c r="G53" s="122"/>
    </row>
    <row r="54" spans="1:242" s="85" customFormat="1" ht="15" customHeight="1" x14ac:dyDescent="0.25">
      <c r="A54" s="118"/>
      <c r="B54" s="118"/>
      <c r="C54" s="122" t="s">
        <v>373</v>
      </c>
      <c r="D54" s="118"/>
      <c r="E54" s="118"/>
      <c r="F54" s="118"/>
      <c r="G54" s="122"/>
      <c r="L54" s="86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91"/>
      <c r="GK54" s="91"/>
      <c r="GL54" s="91"/>
      <c r="GM54" s="91"/>
      <c r="GN54" s="91"/>
      <c r="GO54" s="91"/>
      <c r="GP54" s="91"/>
      <c r="GQ54" s="91"/>
      <c r="GR54" s="91"/>
      <c r="GS54" s="91"/>
      <c r="GT54" s="91"/>
      <c r="GU54" s="91"/>
      <c r="GV54" s="91"/>
      <c r="GW54" s="91"/>
      <c r="GX54" s="91"/>
      <c r="GY54" s="91"/>
      <c r="GZ54" s="91"/>
      <c r="HA54" s="91"/>
      <c r="HB54" s="91"/>
      <c r="HC54" s="91"/>
      <c r="HD54" s="91"/>
      <c r="HE54" s="91"/>
      <c r="HF54" s="91"/>
      <c r="HG54" s="91"/>
      <c r="HH54" s="91"/>
      <c r="HI54" s="91"/>
      <c r="HJ54" s="91"/>
      <c r="HK54" s="91"/>
      <c r="HL54" s="91"/>
      <c r="HM54" s="91"/>
      <c r="HN54" s="91"/>
      <c r="HO54" s="91"/>
      <c r="HP54" s="91"/>
      <c r="HQ54" s="91"/>
      <c r="HR54" s="91"/>
      <c r="HS54" s="91"/>
      <c r="HT54" s="91"/>
      <c r="HU54" s="91"/>
      <c r="HV54" s="91"/>
      <c r="HW54" s="91"/>
      <c r="HX54" s="91"/>
      <c r="HY54" s="91"/>
      <c r="HZ54" s="91"/>
      <c r="IA54" s="91"/>
      <c r="IB54" s="91"/>
      <c r="IC54" s="91"/>
      <c r="ID54" s="91"/>
      <c r="IE54" s="91"/>
      <c r="IF54" s="91"/>
      <c r="IG54" s="91"/>
      <c r="IH54" s="91"/>
    </row>
    <row r="55" spans="1:242" s="85" customFormat="1" ht="15" customHeight="1" x14ac:dyDescent="0.25">
      <c r="A55" s="118"/>
      <c r="B55" s="118"/>
      <c r="C55" s="122"/>
      <c r="D55" s="118"/>
      <c r="E55" s="118"/>
      <c r="F55" s="118"/>
      <c r="G55" s="118"/>
      <c r="L55" s="86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  <c r="GA55" s="91"/>
      <c r="GB55" s="91"/>
      <c r="GC55" s="91"/>
      <c r="GD55" s="91"/>
      <c r="GE55" s="91"/>
      <c r="GF55" s="91"/>
      <c r="GG55" s="91"/>
      <c r="GH55" s="91"/>
      <c r="GI55" s="91"/>
      <c r="GJ55" s="91"/>
      <c r="GK55" s="91"/>
      <c r="GL55" s="91"/>
      <c r="GM55" s="91"/>
      <c r="GN55" s="91"/>
      <c r="GO55" s="91"/>
      <c r="GP55" s="91"/>
      <c r="GQ55" s="91"/>
      <c r="GR55" s="91"/>
      <c r="GS55" s="91"/>
      <c r="GT55" s="91"/>
      <c r="GU55" s="91"/>
      <c r="GV55" s="91"/>
      <c r="GW55" s="91"/>
      <c r="GX55" s="91"/>
      <c r="GY55" s="91"/>
      <c r="GZ55" s="91"/>
      <c r="HA55" s="91"/>
      <c r="HB55" s="91"/>
      <c r="HC55" s="91"/>
      <c r="HD55" s="91"/>
      <c r="HE55" s="91"/>
      <c r="HF55" s="91"/>
      <c r="HG55" s="91"/>
      <c r="HH55" s="91"/>
      <c r="HI55" s="91"/>
      <c r="HJ55" s="91"/>
      <c r="HK55" s="91"/>
      <c r="HL55" s="91"/>
      <c r="HM55" s="91"/>
      <c r="HN55" s="91"/>
      <c r="HO55" s="91"/>
      <c r="HP55" s="91"/>
      <c r="HQ55" s="91"/>
      <c r="HR55" s="91"/>
      <c r="HS55" s="91"/>
      <c r="HT55" s="91"/>
      <c r="HU55" s="91"/>
      <c r="HV55" s="91"/>
      <c r="HW55" s="91"/>
      <c r="HX55" s="91"/>
      <c r="HY55" s="91"/>
      <c r="HZ55" s="91"/>
      <c r="IA55" s="91"/>
      <c r="IB55" s="91"/>
      <c r="IC55" s="91"/>
      <c r="ID55" s="91"/>
      <c r="IE55" s="91"/>
      <c r="IF55" s="91"/>
      <c r="IG55" s="91"/>
      <c r="IH55" s="91"/>
    </row>
    <row r="56" spans="1:242" s="85" customFormat="1" ht="15" customHeight="1" x14ac:dyDescent="0.25">
      <c r="A56" s="122"/>
      <c r="B56" s="122"/>
      <c r="C56" s="122"/>
      <c r="D56" s="118"/>
      <c r="E56" s="118"/>
      <c r="F56" s="118"/>
      <c r="G56" s="118"/>
      <c r="L56" s="86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  <c r="GA56" s="91"/>
      <c r="GB56" s="91"/>
      <c r="GC56" s="91"/>
      <c r="GD56" s="91"/>
      <c r="GE56" s="91"/>
      <c r="GF56" s="91"/>
      <c r="GG56" s="91"/>
      <c r="GH56" s="91"/>
      <c r="GI56" s="91"/>
      <c r="GJ56" s="91"/>
      <c r="GK56" s="91"/>
      <c r="GL56" s="91"/>
      <c r="GM56" s="91"/>
      <c r="GN56" s="91"/>
      <c r="GO56" s="91"/>
      <c r="GP56" s="91"/>
      <c r="GQ56" s="91"/>
      <c r="GR56" s="91"/>
      <c r="GS56" s="91"/>
      <c r="GT56" s="91"/>
      <c r="GU56" s="91"/>
      <c r="GV56" s="91"/>
      <c r="GW56" s="91"/>
      <c r="GX56" s="91"/>
      <c r="GY56" s="91"/>
      <c r="GZ56" s="91"/>
      <c r="HA56" s="91"/>
      <c r="HB56" s="91"/>
      <c r="HC56" s="91"/>
      <c r="HD56" s="91"/>
      <c r="HE56" s="91"/>
      <c r="HF56" s="91"/>
      <c r="HG56" s="91"/>
      <c r="HH56" s="91"/>
      <c r="HI56" s="91"/>
      <c r="HJ56" s="91"/>
      <c r="HK56" s="91"/>
      <c r="HL56" s="91"/>
      <c r="HM56" s="91"/>
      <c r="HN56" s="91"/>
      <c r="HO56" s="91"/>
      <c r="HP56" s="91"/>
      <c r="HQ56" s="91"/>
      <c r="HR56" s="91"/>
      <c r="HS56" s="91"/>
      <c r="HT56" s="91"/>
      <c r="HU56" s="91"/>
      <c r="HV56" s="91"/>
      <c r="HW56" s="91"/>
      <c r="HX56" s="91"/>
      <c r="HY56" s="91"/>
      <c r="HZ56" s="91"/>
      <c r="IA56" s="91"/>
      <c r="IB56" s="91"/>
      <c r="IC56" s="91"/>
      <c r="ID56" s="91"/>
      <c r="IE56" s="91"/>
      <c r="IF56" s="91"/>
      <c r="IG56" s="91"/>
      <c r="IH56" s="91"/>
    </row>
    <row r="57" spans="1:242" s="85" customFormat="1" ht="15" customHeight="1" x14ac:dyDescent="0.25">
      <c r="A57" s="118"/>
      <c r="B57" s="118"/>
      <c r="C57" s="122" t="s">
        <v>372</v>
      </c>
      <c r="D57" s="124"/>
      <c r="E57" s="124"/>
      <c r="F57" s="124"/>
      <c r="G57" s="118"/>
      <c r="L57" s="86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  <c r="GA57" s="91"/>
      <c r="GB57" s="91"/>
      <c r="GC57" s="91"/>
      <c r="GD57" s="91"/>
      <c r="GE57" s="91"/>
      <c r="GF57" s="91"/>
      <c r="GG57" s="91"/>
      <c r="GH57" s="91"/>
      <c r="GI57" s="91"/>
      <c r="GJ57" s="91"/>
      <c r="GK57" s="91"/>
      <c r="GL57" s="91"/>
      <c r="GM57" s="91"/>
      <c r="GN57" s="91"/>
      <c r="GO57" s="91"/>
      <c r="GP57" s="91"/>
      <c r="GQ57" s="91"/>
      <c r="GR57" s="91"/>
      <c r="GS57" s="91"/>
      <c r="GT57" s="91"/>
      <c r="GU57" s="91"/>
      <c r="GV57" s="91"/>
      <c r="GW57" s="91"/>
      <c r="GX57" s="91"/>
      <c r="GY57" s="91"/>
      <c r="GZ57" s="91"/>
      <c r="HA57" s="91"/>
      <c r="HB57" s="91"/>
      <c r="HC57" s="91"/>
      <c r="HD57" s="91"/>
      <c r="HE57" s="91"/>
      <c r="HF57" s="91"/>
      <c r="HG57" s="91"/>
      <c r="HH57" s="91"/>
      <c r="HI57" s="91"/>
      <c r="HJ57" s="91"/>
      <c r="HK57" s="91"/>
      <c r="HL57" s="91"/>
      <c r="HM57" s="91"/>
      <c r="HN57" s="91"/>
      <c r="HO57" s="91"/>
      <c r="HP57" s="91"/>
      <c r="HQ57" s="91"/>
      <c r="HR57" s="91"/>
      <c r="HS57" s="91"/>
      <c r="HT57" s="91"/>
      <c r="HU57" s="91"/>
      <c r="HV57" s="91"/>
      <c r="HW57" s="91"/>
      <c r="HX57" s="91"/>
      <c r="HY57" s="91"/>
      <c r="HZ57" s="91"/>
      <c r="IA57" s="91"/>
      <c r="IB57" s="91"/>
      <c r="IC57" s="91"/>
      <c r="ID57" s="91"/>
      <c r="IE57" s="91"/>
      <c r="IF57" s="91"/>
      <c r="IG57" s="91"/>
      <c r="IH57" s="91"/>
    </row>
    <row r="58" spans="1:242" s="85" customFormat="1" ht="15" customHeight="1" x14ac:dyDescent="0.25">
      <c r="A58" s="118"/>
      <c r="B58" s="118"/>
      <c r="C58" s="124" t="s">
        <v>278</v>
      </c>
      <c r="D58" s="122"/>
      <c r="E58" s="122"/>
      <c r="F58" s="122"/>
      <c r="G58" s="118"/>
      <c r="L58" s="86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  <c r="GA58" s="91"/>
      <c r="GB58" s="91"/>
      <c r="GC58" s="91"/>
      <c r="GD58" s="91"/>
      <c r="GE58" s="91"/>
      <c r="GF58" s="91"/>
      <c r="GG58" s="91"/>
      <c r="GH58" s="91"/>
      <c r="GI58" s="91"/>
      <c r="GJ58" s="91"/>
      <c r="GK58" s="91"/>
      <c r="GL58" s="91"/>
      <c r="GM58" s="91"/>
      <c r="GN58" s="91"/>
      <c r="GO58" s="91"/>
      <c r="GP58" s="91"/>
      <c r="GQ58" s="91"/>
      <c r="GR58" s="91"/>
      <c r="GS58" s="91"/>
      <c r="GT58" s="91"/>
      <c r="GU58" s="91"/>
      <c r="GV58" s="91"/>
      <c r="GW58" s="91"/>
      <c r="GX58" s="91"/>
      <c r="GY58" s="91"/>
      <c r="GZ58" s="91"/>
      <c r="HA58" s="91"/>
      <c r="HB58" s="91"/>
      <c r="HC58" s="91"/>
      <c r="HD58" s="91"/>
      <c r="HE58" s="91"/>
      <c r="HF58" s="91"/>
      <c r="HG58" s="91"/>
      <c r="HH58" s="91"/>
      <c r="HI58" s="91"/>
      <c r="HJ58" s="91"/>
      <c r="HK58" s="91"/>
      <c r="HL58" s="91"/>
      <c r="HM58" s="91"/>
      <c r="HN58" s="91"/>
      <c r="HO58" s="91"/>
      <c r="HP58" s="91"/>
      <c r="HQ58" s="91"/>
      <c r="HR58" s="91"/>
      <c r="HS58" s="91"/>
      <c r="HT58" s="91"/>
      <c r="HU58" s="91"/>
      <c r="HV58" s="91"/>
      <c r="HW58" s="91"/>
      <c r="HX58" s="91"/>
      <c r="HY58" s="91"/>
      <c r="HZ58" s="91"/>
      <c r="IA58" s="91"/>
      <c r="IB58" s="91"/>
      <c r="IC58" s="91"/>
      <c r="ID58" s="91"/>
      <c r="IE58" s="91"/>
      <c r="IF58" s="91"/>
      <c r="IG58" s="91"/>
      <c r="IH58" s="91"/>
    </row>
    <row r="59" spans="1:242" s="85" customFormat="1" ht="15" customHeight="1" x14ac:dyDescent="0.25">
      <c r="A59" s="118"/>
      <c r="B59" s="118"/>
      <c r="C59" s="122" t="s">
        <v>296</v>
      </c>
      <c r="D59" s="122"/>
      <c r="E59" s="122"/>
      <c r="F59" s="122"/>
      <c r="G59" s="118"/>
      <c r="L59" s="86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  <c r="GA59" s="91"/>
      <c r="GB59" s="91"/>
      <c r="GC59" s="91"/>
      <c r="GD59" s="91"/>
      <c r="GE59" s="91"/>
      <c r="GF59" s="91"/>
      <c r="GG59" s="91"/>
      <c r="GH59" s="91"/>
      <c r="GI59" s="91"/>
      <c r="GJ59" s="91"/>
      <c r="GK59" s="91"/>
      <c r="GL59" s="91"/>
      <c r="GM59" s="91"/>
      <c r="GN59" s="91"/>
      <c r="GO59" s="91"/>
      <c r="GP59" s="91"/>
      <c r="GQ59" s="91"/>
      <c r="GR59" s="91"/>
      <c r="GS59" s="91"/>
      <c r="GT59" s="91"/>
      <c r="GU59" s="91"/>
      <c r="GV59" s="91"/>
      <c r="GW59" s="91"/>
      <c r="GX59" s="91"/>
      <c r="GY59" s="91"/>
      <c r="GZ59" s="91"/>
      <c r="HA59" s="91"/>
      <c r="HB59" s="91"/>
      <c r="HC59" s="91"/>
      <c r="HD59" s="91"/>
      <c r="HE59" s="91"/>
      <c r="HF59" s="91"/>
      <c r="HG59" s="91"/>
      <c r="HH59" s="91"/>
      <c r="HI59" s="91"/>
      <c r="HJ59" s="91"/>
      <c r="HK59" s="91"/>
      <c r="HL59" s="91"/>
      <c r="HM59" s="91"/>
      <c r="HN59" s="91"/>
      <c r="HO59" s="91"/>
      <c r="HP59" s="91"/>
      <c r="HQ59" s="91"/>
      <c r="HR59" s="91"/>
      <c r="HS59" s="91"/>
      <c r="HT59" s="91"/>
      <c r="HU59" s="91"/>
      <c r="HV59" s="91"/>
      <c r="HW59" s="91"/>
      <c r="HX59" s="91"/>
      <c r="HY59" s="91"/>
      <c r="HZ59" s="91"/>
      <c r="IA59" s="91"/>
      <c r="IB59" s="91"/>
      <c r="IC59" s="91"/>
      <c r="ID59" s="91"/>
      <c r="IE59" s="91"/>
      <c r="IF59" s="91"/>
      <c r="IG59" s="91"/>
      <c r="IH59" s="91"/>
    </row>
    <row r="60" spans="1:242" s="85" customFormat="1" ht="15" customHeight="1" x14ac:dyDescent="0.25">
      <c r="A60" s="118"/>
      <c r="B60" s="118"/>
      <c r="C60" s="122" t="s">
        <v>297</v>
      </c>
      <c r="D60" s="124"/>
      <c r="E60" s="124"/>
      <c r="F60" s="124"/>
      <c r="G60" s="118"/>
      <c r="L60" s="86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  <c r="GA60" s="91"/>
      <c r="GB60" s="91"/>
      <c r="GC60" s="91"/>
      <c r="GD60" s="91"/>
      <c r="GE60" s="91"/>
      <c r="GF60" s="91"/>
      <c r="GG60" s="91"/>
      <c r="GH60" s="91"/>
      <c r="GI60" s="91"/>
      <c r="GJ60" s="91"/>
      <c r="GK60" s="91"/>
      <c r="GL60" s="91"/>
      <c r="GM60" s="91"/>
      <c r="GN60" s="91"/>
      <c r="GO60" s="91"/>
      <c r="GP60" s="91"/>
      <c r="GQ60" s="91"/>
      <c r="GR60" s="91"/>
      <c r="GS60" s="91"/>
      <c r="GT60" s="91"/>
      <c r="GU60" s="91"/>
      <c r="GV60" s="91"/>
      <c r="GW60" s="91"/>
      <c r="GX60" s="91"/>
      <c r="GY60" s="91"/>
      <c r="GZ60" s="91"/>
      <c r="HA60" s="91"/>
      <c r="HB60" s="91"/>
      <c r="HC60" s="91"/>
      <c r="HD60" s="91"/>
      <c r="HE60" s="91"/>
      <c r="HF60" s="91"/>
      <c r="HG60" s="91"/>
      <c r="HH60" s="91"/>
      <c r="HI60" s="91"/>
      <c r="HJ60" s="91"/>
      <c r="HK60" s="91"/>
      <c r="HL60" s="91"/>
      <c r="HM60" s="91"/>
      <c r="HN60" s="91"/>
      <c r="HO60" s="91"/>
      <c r="HP60" s="91"/>
      <c r="HQ60" s="91"/>
      <c r="HR60" s="91"/>
      <c r="HS60" s="91"/>
      <c r="HT60" s="91"/>
      <c r="HU60" s="91"/>
      <c r="HV60" s="91"/>
      <c r="HW60" s="91"/>
      <c r="HX60" s="91"/>
      <c r="HY60" s="91"/>
      <c r="HZ60" s="91"/>
      <c r="IA60" s="91"/>
      <c r="IB60" s="91"/>
      <c r="IC60" s="91"/>
      <c r="ID60" s="91"/>
      <c r="IE60" s="91"/>
      <c r="IF60" s="91"/>
      <c r="IG60" s="91"/>
      <c r="IH60" s="91"/>
    </row>
    <row r="61" spans="1:242" ht="15" customHeight="1" x14ac:dyDescent="0.25">
      <c r="A61" s="118"/>
      <c r="B61" s="118"/>
      <c r="C61" s="124" t="s">
        <v>289</v>
      </c>
      <c r="D61" s="118"/>
      <c r="E61" s="118"/>
      <c r="F61" s="118"/>
    </row>
    <row r="62" spans="1:242" ht="15" customHeight="1" x14ac:dyDescent="0.25"/>
    <row r="63" spans="1:242" ht="15" customHeight="1" x14ac:dyDescent="0.25"/>
  </sheetData>
  <sheetProtection formatCells="0" formatColumns="0" formatRows="0" insertColumns="0" insertRows="0" insertHyperlinks="0" deleteColumns="0" deleteRows="0" sort="0" autoFilter="0" pivotTables="0"/>
  <mergeCells count="63">
    <mergeCell ref="A6:G6"/>
    <mergeCell ref="A1:G1"/>
    <mergeCell ref="A2:G2"/>
    <mergeCell ref="A3:G3"/>
    <mergeCell ref="A4:G4"/>
    <mergeCell ref="A5:G5"/>
    <mergeCell ref="A12:B12"/>
    <mergeCell ref="C12:E12"/>
    <mergeCell ref="A13:B13"/>
    <mergeCell ref="C13:E13"/>
    <mergeCell ref="A7:G7"/>
    <mergeCell ref="A8:H8"/>
    <mergeCell ref="A9:G9"/>
    <mergeCell ref="A10:B10"/>
    <mergeCell ref="C10:G10"/>
    <mergeCell ref="A11:B11"/>
    <mergeCell ref="C11:E11"/>
    <mergeCell ref="A18:B18"/>
    <mergeCell ref="C18:E18"/>
    <mergeCell ref="A19:B19"/>
    <mergeCell ref="C19:E19"/>
    <mergeCell ref="A14:B14"/>
    <mergeCell ref="C14:G14"/>
    <mergeCell ref="A15:G15"/>
    <mergeCell ref="A16:B16"/>
    <mergeCell ref="C16:G16"/>
    <mergeCell ref="A17:B17"/>
    <mergeCell ref="C17:E17"/>
    <mergeCell ref="A20:B20"/>
    <mergeCell ref="C20:G20"/>
    <mergeCell ref="A21:B21"/>
    <mergeCell ref="C21:E21"/>
    <mergeCell ref="A22:B22"/>
    <mergeCell ref="C22:E22"/>
    <mergeCell ref="A23:B23"/>
    <mergeCell ref="C23:G23"/>
    <mergeCell ref="A24:G24"/>
    <mergeCell ref="A26:B26"/>
    <mergeCell ref="F26:G26"/>
    <mergeCell ref="A25:G25"/>
    <mergeCell ref="C26:E26"/>
    <mergeCell ref="A52:G52"/>
    <mergeCell ref="A27:G27"/>
    <mergeCell ref="A28:G28"/>
    <mergeCell ref="A29:G29"/>
    <mergeCell ref="A30:G30"/>
    <mergeCell ref="A41:F41"/>
    <mergeCell ref="A42:G42"/>
    <mergeCell ref="B39:F39"/>
    <mergeCell ref="B40:F40"/>
    <mergeCell ref="A34:F34"/>
    <mergeCell ref="A35:G35"/>
    <mergeCell ref="A36:G36"/>
    <mergeCell ref="A31:G31"/>
    <mergeCell ref="B32:F32"/>
    <mergeCell ref="B33:F33"/>
    <mergeCell ref="A43:F43"/>
    <mergeCell ref="A46:G46"/>
    <mergeCell ref="A48:G48"/>
    <mergeCell ref="A50:G50"/>
    <mergeCell ref="A44:G44"/>
    <mergeCell ref="B37:F37"/>
    <mergeCell ref="B38:F38"/>
  </mergeCells>
  <hyperlinks>
    <hyperlink ref="C14" r:id="rId1"/>
    <hyperlink ref="C23" r:id="rId2"/>
  </hyperlinks>
  <printOptions horizontalCentered="1"/>
  <pageMargins left="0.39370078740157483" right="0.39370078740157483" top="0.78740157480314965" bottom="0.59055118110236227" header="0.31496062992125984" footer="0.31496062992125984"/>
  <pageSetup paperSize="9" scale="75" orientation="portrait" horizontalDpi="360" verticalDpi="360" r:id="rId3"/>
  <headerFooter alignWithMargins="0">
    <oddHeader>&amp;R&amp;G</oddHeader>
    <oddFooter>&amp;L&amp;G</oddFooter>
  </headerFooter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6" ht="16.5" x14ac:dyDescent="0.25">
      <c r="A1" s="242" t="s">
        <v>119</v>
      </c>
      <c r="B1" s="242"/>
      <c r="C1" s="242"/>
      <c r="D1" s="242"/>
      <c r="E1" s="242"/>
      <c r="F1" s="80"/>
    </row>
    <row r="2" spans="1:6" x14ac:dyDescent="0.25">
      <c r="F2" s="80"/>
    </row>
    <row r="3" spans="1:6" x14ac:dyDescent="0.25">
      <c r="A3" s="243" t="s">
        <v>116</v>
      </c>
      <c r="B3" s="243"/>
      <c r="C3" s="243"/>
      <c r="D3" s="243"/>
      <c r="E3" s="243"/>
      <c r="F3" s="80"/>
    </row>
    <row r="4" spans="1:6" x14ac:dyDescent="0.25">
      <c r="A4" s="31" t="s">
        <v>2</v>
      </c>
      <c r="B4" s="237" t="s">
        <v>120</v>
      </c>
      <c r="C4" s="237"/>
      <c r="D4" s="237"/>
      <c r="E4" s="33">
        <f>superv!D33</f>
        <v>1668.21</v>
      </c>
      <c r="F4" s="80"/>
    </row>
    <row r="5" spans="1:6" x14ac:dyDescent="0.25">
      <c r="A5" s="31" t="s">
        <v>4</v>
      </c>
      <c r="B5" s="237" t="s">
        <v>121</v>
      </c>
      <c r="C5" s="237"/>
      <c r="D5" s="34">
        <f>superv!C57</f>
        <v>0.35810000000000003</v>
      </c>
      <c r="E5" s="33">
        <f>E4*D5</f>
        <v>597.38600100000008</v>
      </c>
      <c r="F5" s="80"/>
    </row>
    <row r="6" spans="1:6" x14ac:dyDescent="0.25">
      <c r="A6" s="31" t="s">
        <v>6</v>
      </c>
      <c r="B6" s="237" t="s">
        <v>99</v>
      </c>
      <c r="C6" s="237"/>
      <c r="D6" s="34">
        <f>superv!C135</f>
        <v>0.01</v>
      </c>
      <c r="E6" s="33">
        <f>TRUNC((E4+E5)*D6,2)</f>
        <v>22.65</v>
      </c>
      <c r="F6" s="80"/>
    </row>
    <row r="7" spans="1:6" x14ac:dyDescent="0.25">
      <c r="A7" s="31" t="s">
        <v>8</v>
      </c>
      <c r="B7" s="237" t="s">
        <v>100</v>
      </c>
      <c r="C7" s="237"/>
      <c r="D7" s="34">
        <f>superv!C136</f>
        <v>6.4000000000000003E-3</v>
      </c>
      <c r="E7" s="33">
        <f>TRUNC((E4+E5+E6)*D7,2)</f>
        <v>14.64</v>
      </c>
      <c r="F7" s="80"/>
    </row>
    <row r="8" spans="1:6" x14ac:dyDescent="0.25">
      <c r="A8" s="31" t="s">
        <v>31</v>
      </c>
      <c r="B8" s="237" t="s">
        <v>101</v>
      </c>
      <c r="C8" s="237"/>
      <c r="D8" s="34">
        <f>superv!C137</f>
        <v>7.22E-2</v>
      </c>
      <c r="E8" s="33">
        <f>TRUNC((E4+E5+E6+E7)*D8/(1-D8),2)</f>
        <v>179.2</v>
      </c>
      <c r="F8" s="80"/>
    </row>
    <row r="9" spans="1:6" x14ac:dyDescent="0.25">
      <c r="A9" s="238" t="s">
        <v>122</v>
      </c>
      <c r="B9" s="238"/>
      <c r="C9" s="238"/>
      <c r="D9" s="238"/>
      <c r="E9" s="33">
        <f>SUM(E4:E8)</f>
        <v>2482.0860009999997</v>
      </c>
      <c r="F9" s="80"/>
    </row>
    <row r="10" spans="1:6" x14ac:dyDescent="0.25">
      <c r="A10" s="31" t="s">
        <v>51</v>
      </c>
      <c r="B10" s="237" t="s">
        <v>123</v>
      </c>
      <c r="C10" s="237"/>
      <c r="D10" s="237"/>
      <c r="E10" s="33">
        <f>TRUNC(E9/220,2)</f>
        <v>11.28</v>
      </c>
      <c r="F10" s="80"/>
    </row>
    <row r="11" spans="1:6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16.920000000000002</v>
      </c>
      <c r="F11" s="80"/>
    </row>
    <row r="12" spans="1:6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22.56</v>
      </c>
      <c r="F12" s="80"/>
    </row>
    <row r="13" spans="1:6" x14ac:dyDescent="0.25">
      <c r="A13" s="241"/>
      <c r="B13" s="241"/>
      <c r="C13" s="241"/>
      <c r="D13" s="31" t="s">
        <v>125</v>
      </c>
      <c r="E13" s="31" t="s">
        <v>126</v>
      </c>
      <c r="F13" s="80"/>
    </row>
    <row r="14" spans="1:6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  <c r="F14" s="80"/>
    </row>
    <row r="15" spans="1:6" x14ac:dyDescent="0.25">
      <c r="A15" s="31" t="s">
        <v>129</v>
      </c>
      <c r="B15" s="237" t="s">
        <v>130</v>
      </c>
      <c r="C15" s="237"/>
      <c r="D15" s="31">
        <v>32</v>
      </c>
      <c r="E15" s="33">
        <f>D15*E11</f>
        <v>541.44000000000005</v>
      </c>
      <c r="F15" s="80"/>
    </row>
    <row r="16" spans="1:6" x14ac:dyDescent="0.25">
      <c r="A16" s="31" t="s">
        <v>131</v>
      </c>
      <c r="B16" s="237" t="s">
        <v>132</v>
      </c>
      <c r="C16" s="237"/>
      <c r="D16" s="31">
        <v>64</v>
      </c>
      <c r="E16" s="33">
        <f>D16*E12</f>
        <v>1443.84</v>
      </c>
      <c r="F16" s="80"/>
    </row>
    <row r="17" spans="1:6" x14ac:dyDescent="0.25">
      <c r="A17" s="236" t="s">
        <v>133</v>
      </c>
      <c r="B17" s="236"/>
      <c r="C17" s="236"/>
      <c r="D17" s="236"/>
      <c r="E17" s="35">
        <f>SUM(E14:E16)</f>
        <v>1985.28</v>
      </c>
      <c r="F17" s="80"/>
    </row>
    <row r="18" spans="1:6" x14ac:dyDescent="0.25">
      <c r="A18" s="238" t="s">
        <v>134</v>
      </c>
      <c r="B18" s="238"/>
      <c r="C18" s="238"/>
      <c r="D18" s="238"/>
      <c r="E18" s="31">
        <v>2</v>
      </c>
      <c r="F18" s="80"/>
    </row>
    <row r="19" spans="1:6" x14ac:dyDescent="0.25">
      <c r="A19" s="236" t="s">
        <v>135</v>
      </c>
      <c r="B19" s="236"/>
      <c r="C19" s="236"/>
      <c r="D19" s="236"/>
      <c r="E19" s="35">
        <f>E17*E18</f>
        <v>3970.56</v>
      </c>
      <c r="F19" s="80"/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  <c r="F20" s="80"/>
    </row>
    <row r="21" spans="1:6" x14ac:dyDescent="0.25">
      <c r="A21" s="238" t="s">
        <v>138</v>
      </c>
      <c r="B21" s="238"/>
      <c r="C21" s="238"/>
      <c r="D21" s="31">
        <v>8</v>
      </c>
      <c r="E21" s="31">
        <v>8</v>
      </c>
      <c r="F21" s="80"/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  <c r="F22" s="80"/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  <c r="F23" s="80"/>
    </row>
    <row r="24" spans="1:6" x14ac:dyDescent="0.25">
      <c r="A24" s="238" t="s">
        <v>143</v>
      </c>
      <c r="B24" s="238"/>
      <c r="C24" s="238"/>
      <c r="D24" s="33">
        <f>SUM(D22:D23)*$E$18*D21</f>
        <v>167.68</v>
      </c>
      <c r="E24" s="33">
        <f>SUM(E22:E23)*$E$18*E21</f>
        <v>308.48</v>
      </c>
      <c r="F24" s="80"/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1.67</v>
      </c>
      <c r="E25" s="33">
        <f>TRUNC((E24)*$C$25,2)</f>
        <v>3.08</v>
      </c>
      <c r="F25" s="80"/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1.08</v>
      </c>
      <c r="E26" s="33">
        <f>TRUNC((E24+E25)*$C$26,2)</f>
        <v>1.99</v>
      </c>
      <c r="F26" s="80"/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13.26</v>
      </c>
      <c r="E27" s="33">
        <f>TRUNC((E24+E25+E26)*$C$27/(1-$C$27),2)</f>
        <v>24.39</v>
      </c>
      <c r="F27" s="80"/>
    </row>
    <row r="28" spans="1:6" x14ac:dyDescent="0.25">
      <c r="A28" s="239" t="s">
        <v>147</v>
      </c>
      <c r="B28" s="239"/>
      <c r="C28" s="239"/>
      <c r="D28" s="33">
        <f>SUM(D24:D27)</f>
        <v>183.69</v>
      </c>
      <c r="E28" s="33">
        <f>SUM(E24:E27)</f>
        <v>337.94</v>
      </c>
      <c r="F28" s="80"/>
    </row>
    <row r="29" spans="1:6" x14ac:dyDescent="0.25">
      <c r="A29" s="236" t="s">
        <v>148</v>
      </c>
      <c r="B29" s="236"/>
      <c r="C29" s="236"/>
      <c r="D29" s="236"/>
      <c r="E29" s="35">
        <f>SUM(D28:E28)</f>
        <v>521.63</v>
      </c>
      <c r="F29" s="80"/>
    </row>
    <row r="30" spans="1:6" x14ac:dyDescent="0.25">
      <c r="A30" s="236" t="s">
        <v>149</v>
      </c>
      <c r="B30" s="236"/>
      <c r="C30" s="236"/>
      <c r="D30" s="236"/>
      <c r="E30" s="35">
        <f>E19+E29</f>
        <v>4492.1899999999996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6" ht="16.5" x14ac:dyDescent="0.25">
      <c r="A1" s="242" t="s">
        <v>119</v>
      </c>
      <c r="B1" s="242"/>
      <c r="C1" s="242"/>
      <c r="D1" s="242"/>
      <c r="E1" s="242"/>
    </row>
    <row r="3" spans="1:6" x14ac:dyDescent="0.25">
      <c r="A3" s="243" t="s">
        <v>118</v>
      </c>
      <c r="B3" s="243"/>
      <c r="C3" s="243"/>
      <c r="D3" s="243"/>
      <c r="E3" s="243"/>
    </row>
    <row r="4" spans="1:6" x14ac:dyDescent="0.25">
      <c r="A4" s="31" t="s">
        <v>2</v>
      </c>
      <c r="B4" s="237" t="s">
        <v>120</v>
      </c>
      <c r="C4" s="237"/>
      <c r="D4" s="237"/>
      <c r="E4" s="33">
        <f>cabturm!D33</f>
        <v>1297.6199999999999</v>
      </c>
    </row>
    <row r="5" spans="1:6" x14ac:dyDescent="0.25">
      <c r="A5" s="31" t="s">
        <v>4</v>
      </c>
      <c r="B5" s="237" t="s">
        <v>121</v>
      </c>
      <c r="C5" s="237"/>
      <c r="D5" s="34">
        <f>cabturm!C57</f>
        <v>0.35810000000000003</v>
      </c>
      <c r="E5" s="33">
        <f>E4*D5</f>
        <v>464.67772200000002</v>
      </c>
    </row>
    <row r="6" spans="1:6" x14ac:dyDescent="0.25">
      <c r="A6" s="31" t="s">
        <v>6</v>
      </c>
      <c r="B6" s="237" t="s">
        <v>99</v>
      </c>
      <c r="C6" s="237"/>
      <c r="D6" s="34">
        <f>cabturm!C135</f>
        <v>0.01</v>
      </c>
      <c r="E6" s="33">
        <f>TRUNC((E4+E5)*D6,2)</f>
        <v>17.62</v>
      </c>
    </row>
    <row r="7" spans="1:6" x14ac:dyDescent="0.25">
      <c r="A7" s="31" t="s">
        <v>8</v>
      </c>
      <c r="B7" s="237" t="s">
        <v>100</v>
      </c>
      <c r="C7" s="237"/>
      <c r="D7" s="34">
        <f>cabturm!C136</f>
        <v>6.4000000000000003E-3</v>
      </c>
      <c r="E7" s="33">
        <f>TRUNC((E4+E5+E6)*D7,2)</f>
        <v>11.39</v>
      </c>
    </row>
    <row r="8" spans="1:6" x14ac:dyDescent="0.25">
      <c r="A8" s="31" t="s">
        <v>31</v>
      </c>
      <c r="B8" s="237" t="s">
        <v>101</v>
      </c>
      <c r="C8" s="237"/>
      <c r="D8" s="34">
        <f>cabturm!C137</f>
        <v>7.22E-2</v>
      </c>
      <c r="E8" s="33">
        <f>TRUNC((E4+E5+E6+E7)*D8/(1-D8),2)</f>
        <v>139.38999999999999</v>
      </c>
    </row>
    <row r="9" spans="1:6" x14ac:dyDescent="0.25">
      <c r="A9" s="238" t="s">
        <v>122</v>
      </c>
      <c r="B9" s="238"/>
      <c r="C9" s="238"/>
      <c r="D9" s="238"/>
      <c r="E9" s="33">
        <f>SUM(E4:E8)</f>
        <v>1930.6977219999999</v>
      </c>
      <c r="F9" s="80"/>
    </row>
    <row r="10" spans="1:6" x14ac:dyDescent="0.25">
      <c r="A10" s="31" t="s">
        <v>51</v>
      </c>
      <c r="B10" s="237" t="s">
        <v>123</v>
      </c>
      <c r="C10" s="237"/>
      <c r="D10" s="237"/>
      <c r="E10" s="33">
        <f>TRUNC(E9/220,2)</f>
        <v>8.77</v>
      </c>
    </row>
    <row r="11" spans="1:6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13.15</v>
      </c>
    </row>
    <row r="12" spans="1:6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17.54</v>
      </c>
    </row>
    <row r="13" spans="1:6" x14ac:dyDescent="0.25">
      <c r="A13" s="241"/>
      <c r="B13" s="241"/>
      <c r="C13" s="241"/>
      <c r="D13" s="31" t="s">
        <v>125</v>
      </c>
      <c r="E13" s="31" t="s">
        <v>126</v>
      </c>
    </row>
    <row r="14" spans="1:6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</row>
    <row r="15" spans="1:6" x14ac:dyDescent="0.25">
      <c r="A15" s="31" t="s">
        <v>129</v>
      </c>
      <c r="B15" s="237" t="s">
        <v>130</v>
      </c>
      <c r="C15" s="237"/>
      <c r="D15" s="31">
        <v>32</v>
      </c>
      <c r="E15" s="33">
        <f>D15*E11</f>
        <v>420.8</v>
      </c>
    </row>
    <row r="16" spans="1:6" x14ac:dyDescent="0.25">
      <c r="A16" s="31" t="s">
        <v>131</v>
      </c>
      <c r="B16" s="237" t="s">
        <v>132</v>
      </c>
      <c r="C16" s="237"/>
      <c r="D16" s="31">
        <v>64</v>
      </c>
      <c r="E16" s="33">
        <f>D16*E12</f>
        <v>1122.56</v>
      </c>
    </row>
    <row r="17" spans="1:6" x14ac:dyDescent="0.25">
      <c r="A17" s="236" t="s">
        <v>133</v>
      </c>
      <c r="B17" s="236"/>
      <c r="C17" s="236"/>
      <c r="D17" s="236"/>
      <c r="E17" s="35">
        <f>SUM(E14:E16)</f>
        <v>1543.36</v>
      </c>
      <c r="F17" s="80"/>
    </row>
    <row r="18" spans="1:6" x14ac:dyDescent="0.25">
      <c r="A18" s="238" t="s">
        <v>134</v>
      </c>
      <c r="B18" s="238"/>
      <c r="C18" s="238"/>
      <c r="D18" s="238"/>
      <c r="E18" s="31">
        <v>1</v>
      </c>
      <c r="F18" s="80"/>
    </row>
    <row r="19" spans="1:6" x14ac:dyDescent="0.25">
      <c r="A19" s="236" t="s">
        <v>135</v>
      </c>
      <c r="B19" s="236"/>
      <c r="C19" s="236"/>
      <c r="D19" s="236"/>
      <c r="E19" s="35">
        <f>E17*E18</f>
        <v>1543.36</v>
      </c>
      <c r="F19" s="80"/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</row>
    <row r="21" spans="1:6" x14ac:dyDescent="0.25">
      <c r="A21" s="238" t="s">
        <v>138</v>
      </c>
      <c r="B21" s="238"/>
      <c r="C21" s="238"/>
      <c r="D21" s="31">
        <v>8</v>
      </c>
      <c r="E21" s="31">
        <v>8</v>
      </c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</row>
    <row r="24" spans="1:6" x14ac:dyDescent="0.25">
      <c r="A24" s="238" t="s">
        <v>143</v>
      </c>
      <c r="B24" s="238"/>
      <c r="C24" s="238"/>
      <c r="D24" s="33">
        <f>SUM(D22:D23)*$E$18*D21</f>
        <v>83.84</v>
      </c>
      <c r="E24" s="33">
        <f>SUM(E22:E23)*$E$18*E21</f>
        <v>154.24</v>
      </c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0.83</v>
      </c>
      <c r="E25" s="33">
        <f>TRUNC((E24)*$C$25,2)</f>
        <v>1.54</v>
      </c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0.54</v>
      </c>
      <c r="E26" s="33">
        <f>TRUNC((E24+E25)*$C$26,2)</f>
        <v>0.99</v>
      </c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6.63</v>
      </c>
      <c r="E27" s="33">
        <f>TRUNC((E24+E25+E26)*$C$27/(1-$C$27),2)</f>
        <v>12.19</v>
      </c>
    </row>
    <row r="28" spans="1:6" x14ac:dyDescent="0.25">
      <c r="A28" s="239" t="s">
        <v>147</v>
      </c>
      <c r="B28" s="239"/>
      <c r="C28" s="239"/>
      <c r="D28" s="33">
        <f>SUM(D24:D27)</f>
        <v>91.84</v>
      </c>
      <c r="E28" s="33">
        <f>SUM(E24:E27)</f>
        <v>168.96</v>
      </c>
    </row>
    <row r="29" spans="1:6" x14ac:dyDescent="0.25">
      <c r="A29" s="236" t="s">
        <v>148</v>
      </c>
      <c r="B29" s="236"/>
      <c r="C29" s="236"/>
      <c r="D29" s="236"/>
      <c r="E29" s="35">
        <f>SUM(D28:E28)</f>
        <v>260.8</v>
      </c>
      <c r="F29" s="80"/>
    </row>
    <row r="30" spans="1:6" x14ac:dyDescent="0.25">
      <c r="A30" s="236" t="s">
        <v>149</v>
      </c>
      <c r="B30" s="236"/>
      <c r="C30" s="236"/>
      <c r="D30" s="236"/>
      <c r="E30" s="35">
        <f>E19+E29</f>
        <v>1804.1599999999999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5" ht="16.5" x14ac:dyDescent="0.25">
      <c r="A1" s="242" t="s">
        <v>150</v>
      </c>
      <c r="B1" s="242"/>
      <c r="C1" s="242"/>
      <c r="D1" s="242"/>
      <c r="E1" s="242"/>
    </row>
    <row r="3" spans="1:5" x14ac:dyDescent="0.25">
      <c r="A3" s="243" t="s">
        <v>18</v>
      </c>
      <c r="B3" s="243"/>
      <c r="C3" s="243"/>
      <c r="D3" s="243"/>
      <c r="E3" s="243"/>
    </row>
    <row r="4" spans="1:5" x14ac:dyDescent="0.25">
      <c r="A4" s="31" t="s">
        <v>2</v>
      </c>
      <c r="B4" s="237" t="s">
        <v>120</v>
      </c>
      <c r="C4" s="237"/>
      <c r="D4" s="237"/>
      <c r="E4" s="33">
        <f>serv!D33</f>
        <v>1212.03</v>
      </c>
    </row>
    <row r="5" spans="1:5" x14ac:dyDescent="0.25">
      <c r="A5" s="31" t="s">
        <v>4</v>
      </c>
      <c r="B5" s="237" t="s">
        <v>121</v>
      </c>
      <c r="C5" s="237"/>
      <c r="D5" s="34">
        <f>serv!C57</f>
        <v>0.35810000000000003</v>
      </c>
      <c r="E5" s="33">
        <f>E4*D5</f>
        <v>434.02794300000005</v>
      </c>
    </row>
    <row r="6" spans="1:5" x14ac:dyDescent="0.25">
      <c r="A6" s="31" t="s">
        <v>6</v>
      </c>
      <c r="B6" s="237" t="s">
        <v>99</v>
      </c>
      <c r="C6" s="237"/>
      <c r="D6" s="34">
        <f>serv!C135</f>
        <v>0.01</v>
      </c>
      <c r="E6" s="33">
        <f>TRUNC((E4+E5)*D6,2)</f>
        <v>16.46</v>
      </c>
    </row>
    <row r="7" spans="1:5" x14ac:dyDescent="0.25">
      <c r="A7" s="31" t="s">
        <v>8</v>
      </c>
      <c r="B7" s="237" t="s">
        <v>100</v>
      </c>
      <c r="C7" s="237"/>
      <c r="D7" s="34">
        <f>serv!C136</f>
        <v>6.4000000000000003E-3</v>
      </c>
      <c r="E7" s="33">
        <f>TRUNC((E4+E5+E6)*D7,2)</f>
        <v>10.64</v>
      </c>
    </row>
    <row r="8" spans="1:5" x14ac:dyDescent="0.25">
      <c r="A8" s="31" t="s">
        <v>31</v>
      </c>
      <c r="B8" s="237" t="s">
        <v>101</v>
      </c>
      <c r="C8" s="237"/>
      <c r="D8" s="34">
        <f>serv!C137</f>
        <v>7.22E-2</v>
      </c>
      <c r="E8" s="33">
        <f>TRUNC((E4+E5+E6+E7)*D8/(1-D8),2)</f>
        <v>130.19999999999999</v>
      </c>
    </row>
    <row r="9" spans="1:5" x14ac:dyDescent="0.25">
      <c r="A9" s="238" t="s">
        <v>122</v>
      </c>
      <c r="B9" s="238"/>
      <c r="C9" s="238"/>
      <c r="D9" s="238"/>
      <c r="E9" s="33">
        <f>SUM(E4:E8)</f>
        <v>1803.3579430000002</v>
      </c>
    </row>
    <row r="10" spans="1:5" x14ac:dyDescent="0.25">
      <c r="A10" s="31" t="s">
        <v>51</v>
      </c>
      <c r="B10" s="237" t="s">
        <v>123</v>
      </c>
      <c r="C10" s="237"/>
      <c r="D10" s="237"/>
      <c r="E10" s="33">
        <f>TRUNC(E9/220,2)</f>
        <v>8.19</v>
      </c>
    </row>
    <row r="11" spans="1:5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12.28</v>
      </c>
    </row>
    <row r="12" spans="1:5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16.38</v>
      </c>
    </row>
    <row r="13" spans="1:5" x14ac:dyDescent="0.25">
      <c r="A13" s="241"/>
      <c r="B13" s="241"/>
      <c r="C13" s="241"/>
      <c r="D13" s="31" t="s">
        <v>125</v>
      </c>
      <c r="E13" s="31" t="s">
        <v>126</v>
      </c>
    </row>
    <row r="14" spans="1:5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</row>
    <row r="15" spans="1:5" x14ac:dyDescent="0.25">
      <c r="A15" s="31" t="s">
        <v>129</v>
      </c>
      <c r="B15" s="237" t="s">
        <v>130</v>
      </c>
      <c r="C15" s="237"/>
      <c r="D15" s="31">
        <v>16</v>
      </c>
      <c r="E15" s="33">
        <f>D15*E11</f>
        <v>196.48</v>
      </c>
    </row>
    <row r="16" spans="1:5" x14ac:dyDescent="0.25">
      <c r="A16" s="31" t="s">
        <v>131</v>
      </c>
      <c r="B16" s="237" t="s">
        <v>132</v>
      </c>
      <c r="C16" s="237"/>
      <c r="D16" s="31">
        <v>32</v>
      </c>
      <c r="E16" s="33">
        <f>D16*E12</f>
        <v>524.16</v>
      </c>
    </row>
    <row r="17" spans="1:6" x14ac:dyDescent="0.25">
      <c r="A17" s="236" t="s">
        <v>133</v>
      </c>
      <c r="B17" s="236"/>
      <c r="C17" s="236"/>
      <c r="D17" s="236"/>
      <c r="E17" s="35">
        <f>SUM(E14:E16)</f>
        <v>720.64</v>
      </c>
    </row>
    <row r="18" spans="1:6" x14ac:dyDescent="0.25">
      <c r="A18" s="238" t="s">
        <v>134</v>
      </c>
      <c r="B18" s="238"/>
      <c r="C18" s="238"/>
      <c r="D18" s="238"/>
      <c r="E18" s="31">
        <v>52</v>
      </c>
    </row>
    <row r="19" spans="1:6" x14ac:dyDescent="0.25">
      <c r="A19" s="236" t="s">
        <v>135</v>
      </c>
      <c r="B19" s="236"/>
      <c r="C19" s="236"/>
      <c r="D19" s="236"/>
      <c r="E19" s="35">
        <f>E17*E18</f>
        <v>37473.279999999999</v>
      </c>
      <c r="F19" s="80"/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</row>
    <row r="21" spans="1:6" x14ac:dyDescent="0.25">
      <c r="A21" s="238" t="s">
        <v>138</v>
      </c>
      <c r="B21" s="238"/>
      <c r="C21" s="238"/>
      <c r="D21" s="31">
        <v>4</v>
      </c>
      <c r="E21" s="31">
        <v>4</v>
      </c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</row>
    <row r="24" spans="1:6" x14ac:dyDescent="0.25">
      <c r="A24" s="238" t="s">
        <v>143</v>
      </c>
      <c r="B24" s="238"/>
      <c r="C24" s="238"/>
      <c r="D24" s="33">
        <f>SUM(D22:D23)*$E$18*D21</f>
        <v>2179.84</v>
      </c>
      <c r="E24" s="33">
        <f>SUM(E22:E23)*$E$18*E21</f>
        <v>4010.2400000000002</v>
      </c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21.79</v>
      </c>
      <c r="E25" s="33">
        <f>TRUNC((E24)*$C$25,2)</f>
        <v>40.1</v>
      </c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14.09</v>
      </c>
      <c r="E26" s="33">
        <f>TRUNC((E24+E25)*$C$26,2)</f>
        <v>25.92</v>
      </c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172.42</v>
      </c>
      <c r="E27" s="33">
        <f>TRUNC((E24+E25+E26)*$C$27/(1-$C$27),2)</f>
        <v>317.2</v>
      </c>
    </row>
    <row r="28" spans="1:6" x14ac:dyDescent="0.25">
      <c r="A28" s="239" t="s">
        <v>147</v>
      </c>
      <c r="B28" s="239"/>
      <c r="C28" s="239"/>
      <c r="D28" s="33">
        <f>SUM(D24:D27)</f>
        <v>2388.1400000000003</v>
      </c>
      <c r="E28" s="33">
        <f>SUM(E24:E27)</f>
        <v>4393.46</v>
      </c>
    </row>
    <row r="29" spans="1:6" x14ac:dyDescent="0.25">
      <c r="A29" s="236" t="s">
        <v>148</v>
      </c>
      <c r="B29" s="236"/>
      <c r="C29" s="236"/>
      <c r="D29" s="236"/>
      <c r="E29" s="35">
        <f>SUM(D28:E28)</f>
        <v>6781.6</v>
      </c>
      <c r="F29" s="80"/>
    </row>
    <row r="30" spans="1:6" x14ac:dyDescent="0.25">
      <c r="A30" s="236" t="s">
        <v>149</v>
      </c>
      <c r="B30" s="236"/>
      <c r="C30" s="236"/>
      <c r="D30" s="236"/>
      <c r="E30" s="35">
        <f>E19+E29</f>
        <v>44254.879999999997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5" ht="16.5" x14ac:dyDescent="0.25">
      <c r="A1" s="242" t="s">
        <v>150</v>
      </c>
      <c r="B1" s="242"/>
      <c r="C1" s="242"/>
      <c r="D1" s="242"/>
      <c r="E1" s="242"/>
    </row>
    <row r="3" spans="1:5" x14ac:dyDescent="0.25">
      <c r="A3" s="243" t="s">
        <v>116</v>
      </c>
      <c r="B3" s="243"/>
      <c r="C3" s="243"/>
      <c r="D3" s="243"/>
      <c r="E3" s="243"/>
    </row>
    <row r="4" spans="1:5" x14ac:dyDescent="0.25">
      <c r="A4" s="31" t="s">
        <v>2</v>
      </c>
      <c r="B4" s="237" t="s">
        <v>120</v>
      </c>
      <c r="C4" s="237"/>
      <c r="D4" s="237"/>
      <c r="E4" s="33">
        <f>superv!D33</f>
        <v>1668.21</v>
      </c>
    </row>
    <row r="5" spans="1:5" x14ac:dyDescent="0.25">
      <c r="A5" s="31" t="s">
        <v>4</v>
      </c>
      <c r="B5" s="237" t="s">
        <v>121</v>
      </c>
      <c r="C5" s="237"/>
      <c r="D5" s="34">
        <f>superv!C57</f>
        <v>0.35810000000000003</v>
      </c>
      <c r="E5" s="33">
        <f>E4*D5</f>
        <v>597.38600100000008</v>
      </c>
    </row>
    <row r="6" spans="1:5" x14ac:dyDescent="0.25">
      <c r="A6" s="31" t="s">
        <v>6</v>
      </c>
      <c r="B6" s="237" t="s">
        <v>99</v>
      </c>
      <c r="C6" s="237"/>
      <c r="D6" s="34">
        <f>superv!C135</f>
        <v>0.01</v>
      </c>
      <c r="E6" s="33">
        <f>TRUNC((E4+E5)*D6,2)</f>
        <v>22.65</v>
      </c>
    </row>
    <row r="7" spans="1:5" x14ac:dyDescent="0.25">
      <c r="A7" s="31" t="s">
        <v>8</v>
      </c>
      <c r="B7" s="237" t="s">
        <v>100</v>
      </c>
      <c r="C7" s="237"/>
      <c r="D7" s="34">
        <f>superv!C136</f>
        <v>6.4000000000000003E-3</v>
      </c>
      <c r="E7" s="33">
        <f>TRUNC((E4+E5+E6)*D7,2)</f>
        <v>14.64</v>
      </c>
    </row>
    <row r="8" spans="1:5" x14ac:dyDescent="0.25">
      <c r="A8" s="31" t="s">
        <v>31</v>
      </c>
      <c r="B8" s="237" t="s">
        <v>101</v>
      </c>
      <c r="C8" s="237"/>
      <c r="D8" s="34">
        <f>superv!C137</f>
        <v>7.22E-2</v>
      </c>
      <c r="E8" s="33">
        <f>TRUNC((E4+E5+E6+E7)*D8/(1-D8),2)</f>
        <v>179.2</v>
      </c>
    </row>
    <row r="9" spans="1:5" x14ac:dyDescent="0.25">
      <c r="A9" s="238" t="s">
        <v>122</v>
      </c>
      <c r="B9" s="238"/>
      <c r="C9" s="238"/>
      <c r="D9" s="238"/>
      <c r="E9" s="33">
        <f>SUM(E4:E8)</f>
        <v>2482.0860009999997</v>
      </c>
    </row>
    <row r="10" spans="1:5" x14ac:dyDescent="0.25">
      <c r="A10" s="31" t="s">
        <v>51</v>
      </c>
      <c r="B10" s="237" t="s">
        <v>123</v>
      </c>
      <c r="C10" s="237"/>
      <c r="D10" s="237"/>
      <c r="E10" s="33">
        <f>TRUNC(E9/220,2)</f>
        <v>11.28</v>
      </c>
    </row>
    <row r="11" spans="1:5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16.920000000000002</v>
      </c>
    </row>
    <row r="12" spans="1:5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22.56</v>
      </c>
    </row>
    <row r="13" spans="1:5" x14ac:dyDescent="0.25">
      <c r="A13" s="241"/>
      <c r="B13" s="241"/>
      <c r="C13" s="241"/>
      <c r="D13" s="31" t="s">
        <v>125</v>
      </c>
      <c r="E13" s="31" t="s">
        <v>126</v>
      </c>
    </row>
    <row r="14" spans="1:5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</row>
    <row r="15" spans="1:5" x14ac:dyDescent="0.25">
      <c r="A15" s="31" t="s">
        <v>129</v>
      </c>
      <c r="B15" s="237" t="s">
        <v>130</v>
      </c>
      <c r="C15" s="237"/>
      <c r="D15" s="31">
        <v>16</v>
      </c>
      <c r="E15" s="33">
        <f>D15*E11</f>
        <v>270.72000000000003</v>
      </c>
    </row>
    <row r="16" spans="1:5" x14ac:dyDescent="0.25">
      <c r="A16" s="31" t="s">
        <v>131</v>
      </c>
      <c r="B16" s="237" t="s">
        <v>132</v>
      </c>
      <c r="C16" s="237"/>
      <c r="D16" s="31">
        <v>32</v>
      </c>
      <c r="E16" s="33">
        <f>D16*E12</f>
        <v>721.92</v>
      </c>
    </row>
    <row r="17" spans="1:6" x14ac:dyDescent="0.25">
      <c r="A17" s="236" t="s">
        <v>133</v>
      </c>
      <c r="B17" s="236"/>
      <c r="C17" s="236"/>
      <c r="D17" s="236"/>
      <c r="E17" s="35">
        <f>SUM(E14:E16)</f>
        <v>992.64</v>
      </c>
      <c r="F17" s="80"/>
    </row>
    <row r="18" spans="1:6" x14ac:dyDescent="0.25">
      <c r="A18" s="238" t="s">
        <v>134</v>
      </c>
      <c r="B18" s="238"/>
      <c r="C18" s="238"/>
      <c r="D18" s="238"/>
      <c r="E18" s="31">
        <v>2</v>
      </c>
    </row>
    <row r="19" spans="1:6" x14ac:dyDescent="0.25">
      <c r="A19" s="236" t="s">
        <v>135</v>
      </c>
      <c r="B19" s="236"/>
      <c r="C19" s="236"/>
      <c r="D19" s="236"/>
      <c r="E19" s="35">
        <f>E17*E18</f>
        <v>1985.28</v>
      </c>
      <c r="F19" s="80"/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</row>
    <row r="21" spans="1:6" x14ac:dyDescent="0.25">
      <c r="A21" s="238" t="s">
        <v>138</v>
      </c>
      <c r="B21" s="238"/>
      <c r="C21" s="238"/>
      <c r="D21" s="31">
        <v>4</v>
      </c>
      <c r="E21" s="31">
        <v>4</v>
      </c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</row>
    <row r="24" spans="1:6" x14ac:dyDescent="0.25">
      <c r="A24" s="238" t="s">
        <v>143</v>
      </c>
      <c r="B24" s="238"/>
      <c r="C24" s="238"/>
      <c r="D24" s="33">
        <f>SUM(D22:D23)*$E$18*D21</f>
        <v>83.84</v>
      </c>
      <c r="E24" s="33">
        <f>SUM(E22:E23)*$E$18*E21</f>
        <v>154.24</v>
      </c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0.83</v>
      </c>
      <c r="E25" s="33">
        <f>TRUNC((E24)*$C$25,2)</f>
        <v>1.54</v>
      </c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0.54</v>
      </c>
      <c r="E26" s="33">
        <f>TRUNC((E24+E25)*$C$26,2)</f>
        <v>0.99</v>
      </c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6.63</v>
      </c>
      <c r="E27" s="33">
        <f>TRUNC((E24+E25+E26)*$C$27/(1-$C$27),2)</f>
        <v>12.19</v>
      </c>
    </row>
    <row r="28" spans="1:6" x14ac:dyDescent="0.25">
      <c r="A28" s="239" t="s">
        <v>147</v>
      </c>
      <c r="B28" s="239"/>
      <c r="C28" s="239"/>
      <c r="D28" s="33">
        <f>SUM(D24:D27)</f>
        <v>91.84</v>
      </c>
      <c r="E28" s="33">
        <f>SUM(E24:E27)</f>
        <v>168.96</v>
      </c>
    </row>
    <row r="29" spans="1:6" x14ac:dyDescent="0.25">
      <c r="A29" s="236" t="s">
        <v>148</v>
      </c>
      <c r="B29" s="236"/>
      <c r="C29" s="236"/>
      <c r="D29" s="236"/>
      <c r="E29" s="35">
        <f>SUM(D28:E28)</f>
        <v>260.8</v>
      </c>
    </row>
    <row r="30" spans="1:6" x14ac:dyDescent="0.25">
      <c r="A30" s="236" t="s">
        <v>149</v>
      </c>
      <c r="B30" s="236"/>
      <c r="C30" s="236"/>
      <c r="D30" s="236"/>
      <c r="E30" s="35">
        <f>E19+E29</f>
        <v>2246.08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topLeftCell="A13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5" ht="16.5" x14ac:dyDescent="0.25">
      <c r="A1" s="242" t="s">
        <v>150</v>
      </c>
      <c r="B1" s="242"/>
      <c r="C1" s="242"/>
      <c r="D1" s="242"/>
      <c r="E1" s="242"/>
    </row>
    <row r="3" spans="1:5" x14ac:dyDescent="0.25">
      <c r="A3" s="243" t="s">
        <v>118</v>
      </c>
      <c r="B3" s="243"/>
      <c r="C3" s="243"/>
      <c r="D3" s="243"/>
      <c r="E3" s="243"/>
    </row>
    <row r="4" spans="1:5" x14ac:dyDescent="0.25">
      <c r="A4" s="31" t="s">
        <v>2</v>
      </c>
      <c r="B4" s="237" t="s">
        <v>120</v>
      </c>
      <c r="C4" s="237"/>
      <c r="D4" s="237"/>
      <c r="E4" s="33">
        <f>cabturm!D33</f>
        <v>1297.6199999999999</v>
      </c>
    </row>
    <row r="5" spans="1:5" x14ac:dyDescent="0.25">
      <c r="A5" s="31" t="s">
        <v>4</v>
      </c>
      <c r="B5" s="237" t="s">
        <v>121</v>
      </c>
      <c r="C5" s="237"/>
      <c r="D5" s="34">
        <f>cabturm!C57</f>
        <v>0.35810000000000003</v>
      </c>
      <c r="E5" s="33">
        <f>E4*D5</f>
        <v>464.67772200000002</v>
      </c>
    </row>
    <row r="6" spans="1:5" x14ac:dyDescent="0.25">
      <c r="A6" s="31" t="s">
        <v>6</v>
      </c>
      <c r="B6" s="237" t="s">
        <v>99</v>
      </c>
      <c r="C6" s="237"/>
      <c r="D6" s="34">
        <f>cabturm!C135</f>
        <v>0.01</v>
      </c>
      <c r="E6" s="33">
        <f>TRUNC((E4+E5)*D6,2)</f>
        <v>17.62</v>
      </c>
    </row>
    <row r="7" spans="1:5" x14ac:dyDescent="0.25">
      <c r="A7" s="31" t="s">
        <v>8</v>
      </c>
      <c r="B7" s="237" t="s">
        <v>100</v>
      </c>
      <c r="C7" s="237"/>
      <c r="D7" s="34">
        <f>cabturm!C136</f>
        <v>6.4000000000000003E-3</v>
      </c>
      <c r="E7" s="33">
        <f>TRUNC((E4+E5+E6)*D7,2)</f>
        <v>11.39</v>
      </c>
    </row>
    <row r="8" spans="1:5" x14ac:dyDescent="0.25">
      <c r="A8" s="31" t="s">
        <v>31</v>
      </c>
      <c r="B8" s="237" t="s">
        <v>101</v>
      </c>
      <c r="C8" s="237"/>
      <c r="D8" s="34">
        <f>cabturm!C137</f>
        <v>7.22E-2</v>
      </c>
      <c r="E8" s="33">
        <f>TRUNC((E4+E5+E6+E7)*D8/(1-D8),2)</f>
        <v>139.38999999999999</v>
      </c>
    </row>
    <row r="9" spans="1:5" x14ac:dyDescent="0.25">
      <c r="A9" s="238" t="s">
        <v>122</v>
      </c>
      <c r="B9" s="238"/>
      <c r="C9" s="238"/>
      <c r="D9" s="238"/>
      <c r="E9" s="33">
        <f>SUM(E4:E8)</f>
        <v>1930.6977219999999</v>
      </c>
    </row>
    <row r="10" spans="1:5" x14ac:dyDescent="0.25">
      <c r="A10" s="31" t="s">
        <v>51</v>
      </c>
      <c r="B10" s="237" t="s">
        <v>123</v>
      </c>
      <c r="C10" s="237"/>
      <c r="D10" s="237"/>
      <c r="E10" s="33">
        <f>TRUNC(E9/220,2)</f>
        <v>8.77</v>
      </c>
    </row>
    <row r="11" spans="1:5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13.15</v>
      </c>
    </row>
    <row r="12" spans="1:5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17.54</v>
      </c>
    </row>
    <row r="13" spans="1:5" x14ac:dyDescent="0.25">
      <c r="A13" s="241"/>
      <c r="B13" s="241"/>
      <c r="C13" s="241"/>
      <c r="D13" s="31" t="s">
        <v>125</v>
      </c>
      <c r="E13" s="31" t="s">
        <v>126</v>
      </c>
    </row>
    <row r="14" spans="1:5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</row>
    <row r="15" spans="1:5" x14ac:dyDescent="0.25">
      <c r="A15" s="31" t="s">
        <v>129</v>
      </c>
      <c r="B15" s="237" t="s">
        <v>130</v>
      </c>
      <c r="C15" s="237"/>
      <c r="D15" s="31">
        <v>16</v>
      </c>
      <c r="E15" s="33">
        <f>D15*E11</f>
        <v>210.4</v>
      </c>
    </row>
    <row r="16" spans="1:5" x14ac:dyDescent="0.25">
      <c r="A16" s="31" t="s">
        <v>131</v>
      </c>
      <c r="B16" s="237" t="s">
        <v>132</v>
      </c>
      <c r="C16" s="237"/>
      <c r="D16" s="31">
        <v>32</v>
      </c>
      <c r="E16" s="33">
        <f>D16*E12</f>
        <v>561.28</v>
      </c>
    </row>
    <row r="17" spans="1:6" x14ac:dyDescent="0.25">
      <c r="A17" s="236" t="s">
        <v>133</v>
      </c>
      <c r="B17" s="236"/>
      <c r="C17" s="236"/>
      <c r="D17" s="236"/>
      <c r="E17" s="35">
        <f>SUM(E14:E16)</f>
        <v>771.68</v>
      </c>
    </row>
    <row r="18" spans="1:6" x14ac:dyDescent="0.25">
      <c r="A18" s="238" t="s">
        <v>134</v>
      </c>
      <c r="B18" s="238"/>
      <c r="C18" s="238"/>
      <c r="D18" s="238"/>
      <c r="E18" s="31">
        <v>1</v>
      </c>
    </row>
    <row r="19" spans="1:6" x14ac:dyDescent="0.25">
      <c r="A19" s="236" t="s">
        <v>135</v>
      </c>
      <c r="B19" s="236"/>
      <c r="C19" s="236"/>
      <c r="D19" s="236"/>
      <c r="E19" s="35">
        <f>E17*E18</f>
        <v>771.68</v>
      </c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</row>
    <row r="21" spans="1:6" x14ac:dyDescent="0.25">
      <c r="A21" s="238" t="s">
        <v>138</v>
      </c>
      <c r="B21" s="238"/>
      <c r="C21" s="238"/>
      <c r="D21" s="31">
        <v>4</v>
      </c>
      <c r="E21" s="31">
        <v>4</v>
      </c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</row>
    <row r="24" spans="1:6" x14ac:dyDescent="0.25">
      <c r="A24" s="238" t="s">
        <v>143</v>
      </c>
      <c r="B24" s="238"/>
      <c r="C24" s="238"/>
      <c r="D24" s="33">
        <f>SUM(D22:D23)*$E$18*D21</f>
        <v>41.92</v>
      </c>
      <c r="E24" s="33">
        <f>SUM(E22:E23)*$E$18*E21</f>
        <v>77.12</v>
      </c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0.41</v>
      </c>
      <c r="E25" s="33">
        <f>TRUNC((E24)*$C$25,2)</f>
        <v>0.77</v>
      </c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0.27</v>
      </c>
      <c r="E26" s="33">
        <f>TRUNC((E24+E25)*$C$26,2)</f>
        <v>0.49</v>
      </c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3.31</v>
      </c>
      <c r="E27" s="33">
        <f>TRUNC((E24+E25+E26)*$C$27/(1-$C$27),2)</f>
        <v>6.09</v>
      </c>
    </row>
    <row r="28" spans="1:6" x14ac:dyDescent="0.25">
      <c r="A28" s="239" t="s">
        <v>147</v>
      </c>
      <c r="B28" s="239"/>
      <c r="C28" s="239"/>
      <c r="D28" s="33">
        <f>SUM(D24:D27)</f>
        <v>45.910000000000004</v>
      </c>
      <c r="E28" s="33">
        <f>SUM(E24:E27)</f>
        <v>84.47</v>
      </c>
    </row>
    <row r="29" spans="1:6" x14ac:dyDescent="0.25">
      <c r="A29" s="236" t="s">
        <v>148</v>
      </c>
      <c r="B29" s="236"/>
      <c r="C29" s="236"/>
      <c r="D29" s="236"/>
      <c r="E29" s="35">
        <f>SUM(D28:E28)</f>
        <v>130.38</v>
      </c>
      <c r="F29" s="80"/>
    </row>
    <row r="30" spans="1:6" x14ac:dyDescent="0.25">
      <c r="A30" s="236" t="s">
        <v>149</v>
      </c>
      <c r="B30" s="236"/>
      <c r="C30" s="236"/>
      <c r="D30" s="236"/>
      <c r="E30" s="35">
        <f>E19+E29</f>
        <v>902.06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topLeftCell="B1" zoomScaleNormal="100" workbookViewId="0">
      <selection sqref="A1:F1"/>
    </sheetView>
  </sheetViews>
  <sheetFormatPr defaultColWidth="9.140625" defaultRowHeight="15" x14ac:dyDescent="0.25"/>
  <cols>
    <col min="1" max="1" width="9.140625" style="36"/>
    <col min="2" max="2" width="86.85546875" style="36" customWidth="1"/>
    <col min="3" max="5" width="13.28515625" style="36" customWidth="1"/>
    <col min="6" max="6" width="15.5703125" style="36" customWidth="1"/>
    <col min="7" max="7" width="2.5703125" style="37" customWidth="1"/>
    <col min="8" max="8" width="7.140625" style="37" customWidth="1"/>
    <col min="9" max="10" width="9.140625" style="37"/>
    <col min="11" max="11" width="20.42578125" style="37" customWidth="1"/>
    <col min="12" max="13" width="9.140625" style="37"/>
    <col min="14" max="1023" width="9.140625" style="36"/>
    <col min="1024" max="1024" width="11.5703125" style="30" customWidth="1"/>
  </cols>
  <sheetData>
    <row r="1" spans="1:1024" s="39" customFormat="1" ht="71.25" customHeight="1" x14ac:dyDescent="0.25">
      <c r="A1" s="246" t="s">
        <v>151</v>
      </c>
      <c r="B1" s="247"/>
      <c r="C1" s="247"/>
      <c r="D1" s="247"/>
      <c r="E1" s="247"/>
      <c r="F1" s="248"/>
      <c r="G1" s="38"/>
      <c r="H1" s="38"/>
      <c r="I1" s="38"/>
      <c r="J1" s="38"/>
      <c r="K1" s="38"/>
      <c r="L1" s="38"/>
      <c r="M1" s="38"/>
      <c r="AMJ1" s="30"/>
    </row>
    <row r="2" spans="1:1024" ht="25.5" x14ac:dyDescent="0.25">
      <c r="A2" s="40" t="s">
        <v>152</v>
      </c>
      <c r="B2" s="40" t="s">
        <v>153</v>
      </c>
      <c r="C2" s="40" t="s">
        <v>154</v>
      </c>
      <c r="D2" s="40" t="s">
        <v>155</v>
      </c>
      <c r="E2" s="40" t="s">
        <v>156</v>
      </c>
      <c r="F2" s="40" t="s">
        <v>157</v>
      </c>
    </row>
    <row r="3" spans="1:1024" x14ac:dyDescent="0.25">
      <c r="A3" s="41">
        <v>6</v>
      </c>
      <c r="B3" s="63" t="s">
        <v>158</v>
      </c>
      <c r="C3" s="163" t="s">
        <v>200</v>
      </c>
      <c r="D3" s="163">
        <v>24</v>
      </c>
      <c r="E3" s="139">
        <v>2.65</v>
      </c>
      <c r="F3" s="43">
        <f t="shared" ref="F3:F15" si="0">(ROUND(E3,2)*D3)</f>
        <v>63.599999999999994</v>
      </c>
      <c r="H3" s="75"/>
      <c r="I3" s="75"/>
      <c r="J3" s="156"/>
    </row>
    <row r="4" spans="1:1024" x14ac:dyDescent="0.25">
      <c r="A4" s="41">
        <v>7</v>
      </c>
      <c r="B4" s="63" t="s">
        <v>244</v>
      </c>
      <c r="C4" s="163" t="s">
        <v>200</v>
      </c>
      <c r="D4" s="163">
        <v>15</v>
      </c>
      <c r="E4" s="139">
        <v>8.9</v>
      </c>
      <c r="F4" s="43">
        <f t="shared" si="0"/>
        <v>133.5</v>
      </c>
      <c r="H4" s="75"/>
      <c r="I4" s="75"/>
      <c r="J4" s="156"/>
    </row>
    <row r="5" spans="1:1024" x14ac:dyDescent="0.25">
      <c r="A5" s="41">
        <v>8</v>
      </c>
      <c r="B5" s="63" t="s">
        <v>245</v>
      </c>
      <c r="C5" s="163" t="s">
        <v>200</v>
      </c>
      <c r="D5" s="163">
        <v>45</v>
      </c>
      <c r="E5" s="139">
        <v>8.3000000000000007</v>
      </c>
      <c r="F5" s="43">
        <f t="shared" si="0"/>
        <v>373.50000000000006</v>
      </c>
      <c r="H5" s="75"/>
      <c r="I5" s="75"/>
      <c r="J5" s="156"/>
    </row>
    <row r="6" spans="1:1024" x14ac:dyDescent="0.25">
      <c r="A6" s="41">
        <v>9</v>
      </c>
      <c r="B6" s="63" t="s">
        <v>246</v>
      </c>
      <c r="C6" s="163" t="s">
        <v>208</v>
      </c>
      <c r="D6" s="163">
        <v>25</v>
      </c>
      <c r="E6" s="139">
        <v>6.9</v>
      </c>
      <c r="F6" s="43">
        <f t="shared" si="0"/>
        <v>172.5</v>
      </c>
      <c r="H6" s="75"/>
      <c r="I6" s="75"/>
      <c r="J6" s="156"/>
    </row>
    <row r="7" spans="1:1024" x14ac:dyDescent="0.25">
      <c r="A7" s="41">
        <v>10</v>
      </c>
      <c r="B7" s="63" t="s">
        <v>247</v>
      </c>
      <c r="C7" s="163" t="s">
        <v>208</v>
      </c>
      <c r="D7" s="163">
        <v>10</v>
      </c>
      <c r="E7" s="139">
        <v>16</v>
      </c>
      <c r="F7" s="43">
        <f t="shared" si="0"/>
        <v>160</v>
      </c>
      <c r="H7" s="75"/>
      <c r="I7" s="75"/>
      <c r="J7" s="156"/>
    </row>
    <row r="8" spans="1:1024" x14ac:dyDescent="0.25">
      <c r="A8" s="41">
        <v>11</v>
      </c>
      <c r="B8" s="63" t="s">
        <v>248</v>
      </c>
      <c r="C8" s="163" t="s">
        <v>208</v>
      </c>
      <c r="D8" s="163">
        <v>15</v>
      </c>
      <c r="E8" s="139">
        <v>7.6</v>
      </c>
      <c r="F8" s="43">
        <f t="shared" si="0"/>
        <v>114</v>
      </c>
      <c r="H8" s="75"/>
      <c r="I8" s="75"/>
      <c r="J8" s="156"/>
    </row>
    <row r="9" spans="1:1024" x14ac:dyDescent="0.25">
      <c r="A9" s="41">
        <v>12</v>
      </c>
      <c r="B9" s="63" t="s">
        <v>159</v>
      </c>
      <c r="C9" s="163" t="s">
        <v>200</v>
      </c>
      <c r="D9" s="163">
        <v>10</v>
      </c>
      <c r="E9" s="139">
        <v>6</v>
      </c>
      <c r="F9" s="43">
        <f t="shared" si="0"/>
        <v>60</v>
      </c>
      <c r="H9" s="75"/>
      <c r="I9" s="75"/>
      <c r="J9" s="156"/>
    </row>
    <row r="10" spans="1:1024" x14ac:dyDescent="0.25">
      <c r="A10" s="41">
        <v>13</v>
      </c>
      <c r="B10" s="63" t="s">
        <v>160</v>
      </c>
      <c r="C10" s="163" t="s">
        <v>200</v>
      </c>
      <c r="D10" s="163">
        <v>25</v>
      </c>
      <c r="E10" s="139">
        <v>2.95</v>
      </c>
      <c r="F10" s="43">
        <f t="shared" si="0"/>
        <v>73.75</v>
      </c>
      <c r="H10" s="75"/>
      <c r="I10" s="75"/>
      <c r="J10" s="156"/>
    </row>
    <row r="11" spans="1:1024" x14ac:dyDescent="0.25">
      <c r="A11" s="41">
        <v>14</v>
      </c>
      <c r="B11" s="63" t="s">
        <v>161</v>
      </c>
      <c r="C11" s="163" t="s">
        <v>208</v>
      </c>
      <c r="D11" s="163">
        <v>100</v>
      </c>
      <c r="E11" s="139">
        <v>1.9</v>
      </c>
      <c r="F11" s="43">
        <f t="shared" si="0"/>
        <v>190</v>
      </c>
      <c r="H11" s="75"/>
      <c r="I11" s="75"/>
      <c r="J11" s="156"/>
    </row>
    <row r="12" spans="1:1024" x14ac:dyDescent="0.25">
      <c r="A12" s="41">
        <v>15</v>
      </c>
      <c r="B12" s="63" t="s">
        <v>162</v>
      </c>
      <c r="C12" s="163" t="s">
        <v>208</v>
      </c>
      <c r="D12" s="163">
        <v>24</v>
      </c>
      <c r="E12" s="139">
        <v>1.7</v>
      </c>
      <c r="F12" s="43">
        <f t="shared" si="0"/>
        <v>40.799999999999997</v>
      </c>
      <c r="H12" s="75"/>
      <c r="I12" s="75"/>
      <c r="J12" s="156"/>
    </row>
    <row r="13" spans="1:1024" x14ac:dyDescent="0.25">
      <c r="A13" s="41">
        <v>16</v>
      </c>
      <c r="B13" s="63" t="s">
        <v>163</v>
      </c>
      <c r="C13" s="163" t="s">
        <v>200</v>
      </c>
      <c r="D13" s="163">
        <v>25</v>
      </c>
      <c r="E13" s="139">
        <v>1.7</v>
      </c>
      <c r="F13" s="43">
        <f t="shared" si="0"/>
        <v>42.5</v>
      </c>
      <c r="H13" s="75"/>
      <c r="I13" s="75"/>
      <c r="J13" s="156"/>
    </row>
    <row r="14" spans="1:1024" x14ac:dyDescent="0.25">
      <c r="A14" s="41">
        <v>17</v>
      </c>
      <c r="B14" s="63" t="s">
        <v>164</v>
      </c>
      <c r="C14" s="163" t="s">
        <v>208</v>
      </c>
      <c r="D14" s="163">
        <v>5</v>
      </c>
      <c r="E14" s="139">
        <v>7.3</v>
      </c>
      <c r="F14" s="43">
        <f t="shared" si="0"/>
        <v>36.5</v>
      </c>
      <c r="H14" s="75"/>
      <c r="I14" s="75"/>
      <c r="J14" s="156"/>
    </row>
    <row r="15" spans="1:1024" x14ac:dyDescent="0.25">
      <c r="A15" s="41">
        <v>49</v>
      </c>
      <c r="B15" s="63" t="s">
        <v>255</v>
      </c>
      <c r="C15" s="163" t="s">
        <v>208</v>
      </c>
      <c r="D15" s="163">
        <v>1</v>
      </c>
      <c r="E15" s="139">
        <v>224.23</v>
      </c>
      <c r="F15" s="43">
        <f t="shared" si="0"/>
        <v>224.23</v>
      </c>
      <c r="H15" s="75"/>
      <c r="I15" s="75"/>
      <c r="J15" s="156"/>
    </row>
    <row r="16" spans="1:1024" x14ac:dyDescent="0.25">
      <c r="A16" s="41">
        <v>18</v>
      </c>
      <c r="B16" s="63" t="s">
        <v>165</v>
      </c>
      <c r="C16" s="163" t="s">
        <v>208</v>
      </c>
      <c r="D16" s="163">
        <v>10</v>
      </c>
      <c r="E16" s="139">
        <v>3.13</v>
      </c>
      <c r="F16" s="43">
        <f t="shared" ref="F16:F46" si="1">(ROUND(E16,2)*D16)</f>
        <v>31.299999999999997</v>
      </c>
      <c r="H16" s="75"/>
      <c r="I16" s="75"/>
      <c r="J16" s="156"/>
    </row>
    <row r="17" spans="1:10" x14ac:dyDescent="0.25">
      <c r="A17" s="41">
        <v>19</v>
      </c>
      <c r="B17" s="63" t="s">
        <v>166</v>
      </c>
      <c r="C17" s="163" t="s">
        <v>208</v>
      </c>
      <c r="D17" s="163">
        <v>5</v>
      </c>
      <c r="E17" s="139">
        <v>18.5</v>
      </c>
      <c r="F17" s="43">
        <f t="shared" si="1"/>
        <v>92.5</v>
      </c>
      <c r="H17" s="75"/>
      <c r="I17" s="75"/>
      <c r="J17" s="156"/>
    </row>
    <row r="18" spans="1:10" x14ac:dyDescent="0.25">
      <c r="A18" s="41">
        <v>20</v>
      </c>
      <c r="B18" s="63" t="s">
        <v>167</v>
      </c>
      <c r="C18" s="163" t="s">
        <v>209</v>
      </c>
      <c r="D18" s="163">
        <v>10</v>
      </c>
      <c r="E18" s="139">
        <v>1.75</v>
      </c>
      <c r="F18" s="43">
        <f t="shared" si="1"/>
        <v>17.5</v>
      </c>
      <c r="H18" s="75"/>
      <c r="I18" s="75"/>
      <c r="J18" s="156"/>
    </row>
    <row r="19" spans="1:10" x14ac:dyDescent="0.25">
      <c r="A19" s="41">
        <v>21</v>
      </c>
      <c r="B19" s="63" t="s">
        <v>168</v>
      </c>
      <c r="C19" s="163" t="s">
        <v>208</v>
      </c>
      <c r="D19" s="163">
        <v>24</v>
      </c>
      <c r="E19" s="139">
        <v>0.64</v>
      </c>
      <c r="F19" s="43">
        <f t="shared" si="1"/>
        <v>15.36</v>
      </c>
      <c r="H19" s="75"/>
      <c r="I19" s="75"/>
      <c r="J19" s="156"/>
    </row>
    <row r="20" spans="1:10" x14ac:dyDescent="0.25">
      <c r="A20" s="41">
        <v>22</v>
      </c>
      <c r="B20" s="63" t="s">
        <v>249</v>
      </c>
      <c r="C20" s="163" t="s">
        <v>209</v>
      </c>
      <c r="D20" s="163">
        <v>10</v>
      </c>
      <c r="E20" s="139">
        <v>2.6</v>
      </c>
      <c r="F20" s="43">
        <f t="shared" si="1"/>
        <v>26</v>
      </c>
      <c r="H20" s="75"/>
      <c r="I20" s="75"/>
      <c r="J20" s="156"/>
    </row>
    <row r="21" spans="1:10" x14ac:dyDescent="0.25">
      <c r="A21" s="41">
        <v>23</v>
      </c>
      <c r="B21" s="63" t="s">
        <v>169</v>
      </c>
      <c r="C21" s="163" t="s">
        <v>208</v>
      </c>
      <c r="D21" s="163">
        <v>36</v>
      </c>
      <c r="E21" s="139">
        <v>1.55</v>
      </c>
      <c r="F21" s="43">
        <f t="shared" si="1"/>
        <v>55.800000000000004</v>
      </c>
      <c r="H21" s="75"/>
      <c r="I21" s="75"/>
      <c r="J21" s="156"/>
    </row>
    <row r="22" spans="1:10" x14ac:dyDescent="0.25">
      <c r="A22" s="41">
        <v>24</v>
      </c>
      <c r="B22" s="63" t="s">
        <v>170</v>
      </c>
      <c r="C22" s="163" t="s">
        <v>208</v>
      </c>
      <c r="D22" s="163">
        <v>5</v>
      </c>
      <c r="E22" s="139">
        <v>9.6</v>
      </c>
      <c r="F22" s="43">
        <f t="shared" si="1"/>
        <v>48</v>
      </c>
      <c r="H22" s="75"/>
      <c r="I22" s="75"/>
      <c r="J22" s="156"/>
    </row>
    <row r="23" spans="1:10" x14ac:dyDescent="0.25">
      <c r="A23" s="41">
        <v>25</v>
      </c>
      <c r="B23" s="42" t="s">
        <v>171</v>
      </c>
      <c r="C23" s="163" t="s">
        <v>208</v>
      </c>
      <c r="D23" s="163">
        <v>10</v>
      </c>
      <c r="E23" s="139">
        <v>2.63</v>
      </c>
      <c r="F23" s="43">
        <f t="shared" si="1"/>
        <v>26.299999999999997</v>
      </c>
      <c r="H23" s="75"/>
      <c r="I23" s="75"/>
      <c r="J23" s="156"/>
    </row>
    <row r="24" spans="1:10" x14ac:dyDescent="0.25">
      <c r="A24" s="41">
        <v>26</v>
      </c>
      <c r="B24" s="42" t="s">
        <v>172</v>
      </c>
      <c r="C24" s="163" t="s">
        <v>208</v>
      </c>
      <c r="D24" s="163">
        <v>30</v>
      </c>
      <c r="E24" s="139">
        <v>13</v>
      </c>
      <c r="F24" s="43">
        <f t="shared" si="1"/>
        <v>390</v>
      </c>
      <c r="H24" s="75"/>
      <c r="I24" s="75"/>
      <c r="J24" s="156"/>
    </row>
    <row r="25" spans="1:10" x14ac:dyDescent="0.25">
      <c r="A25" s="41">
        <v>27</v>
      </c>
      <c r="B25" s="42" t="s">
        <v>173</v>
      </c>
      <c r="C25" s="163" t="s">
        <v>208</v>
      </c>
      <c r="D25" s="163">
        <v>10</v>
      </c>
      <c r="E25" s="139">
        <v>3.6</v>
      </c>
      <c r="F25" s="43">
        <f t="shared" si="1"/>
        <v>36</v>
      </c>
      <c r="H25" s="75"/>
      <c r="I25" s="75"/>
      <c r="J25" s="156"/>
    </row>
    <row r="26" spans="1:10" x14ac:dyDescent="0.25">
      <c r="A26" s="41">
        <v>28</v>
      </c>
      <c r="B26" s="42" t="s">
        <v>250</v>
      </c>
      <c r="C26" s="163" t="s">
        <v>208</v>
      </c>
      <c r="D26" s="163">
        <v>50</v>
      </c>
      <c r="E26" s="139">
        <v>2.4500000000000002</v>
      </c>
      <c r="F26" s="43">
        <f t="shared" si="1"/>
        <v>122.50000000000001</v>
      </c>
      <c r="H26" s="75"/>
      <c r="I26" s="75"/>
      <c r="J26" s="156"/>
    </row>
    <row r="27" spans="1:10" x14ac:dyDescent="0.25">
      <c r="A27" s="41">
        <v>29</v>
      </c>
      <c r="B27" s="42" t="s">
        <v>174</v>
      </c>
      <c r="C27" s="163" t="s">
        <v>209</v>
      </c>
      <c r="D27" s="163">
        <v>10</v>
      </c>
      <c r="E27" s="139">
        <v>1.3</v>
      </c>
      <c r="F27" s="43">
        <f t="shared" si="1"/>
        <v>13</v>
      </c>
      <c r="H27" s="75"/>
      <c r="I27" s="75"/>
      <c r="J27" s="156"/>
    </row>
    <row r="28" spans="1:10" x14ac:dyDescent="0.25">
      <c r="A28" s="41">
        <v>30</v>
      </c>
      <c r="B28" s="42" t="s">
        <v>175</v>
      </c>
      <c r="C28" s="163" t="s">
        <v>208</v>
      </c>
      <c r="D28" s="163">
        <v>25</v>
      </c>
      <c r="E28" s="139">
        <v>5.0199999999999996</v>
      </c>
      <c r="F28" s="43">
        <f t="shared" si="1"/>
        <v>125.49999999999999</v>
      </c>
      <c r="H28" s="75"/>
      <c r="I28" s="75"/>
      <c r="J28" s="156"/>
    </row>
    <row r="29" spans="1:10" x14ac:dyDescent="0.25">
      <c r="A29" s="41">
        <v>31</v>
      </c>
      <c r="B29" s="42" t="s">
        <v>176</v>
      </c>
      <c r="C29" s="163" t="s">
        <v>208</v>
      </c>
      <c r="D29" s="163">
        <v>35</v>
      </c>
      <c r="E29" s="139">
        <v>3.15</v>
      </c>
      <c r="F29" s="43">
        <f t="shared" si="1"/>
        <v>110.25</v>
      </c>
      <c r="H29" s="75"/>
      <c r="I29" s="75"/>
      <c r="J29" s="156"/>
    </row>
    <row r="30" spans="1:10" ht="38.25" x14ac:dyDescent="0.25">
      <c r="A30" s="41">
        <v>32</v>
      </c>
      <c r="B30" s="42" t="s">
        <v>251</v>
      </c>
      <c r="C30" s="163" t="s">
        <v>207</v>
      </c>
      <c r="D30" s="163">
        <v>50</v>
      </c>
      <c r="E30" s="139">
        <v>86</v>
      </c>
      <c r="F30" s="43">
        <f t="shared" si="1"/>
        <v>4300</v>
      </c>
      <c r="H30" s="75"/>
      <c r="I30" s="75"/>
      <c r="J30" s="156"/>
    </row>
    <row r="31" spans="1:10" ht="25.5" x14ac:dyDescent="0.25">
      <c r="A31" s="41">
        <v>33</v>
      </c>
      <c r="B31" s="42" t="s">
        <v>252</v>
      </c>
      <c r="C31" s="163" t="s">
        <v>210</v>
      </c>
      <c r="D31" s="163">
        <v>150</v>
      </c>
      <c r="E31" s="139">
        <v>23.6</v>
      </c>
      <c r="F31" s="43">
        <f t="shared" si="1"/>
        <v>3540</v>
      </c>
      <c r="H31" s="75"/>
      <c r="I31" s="75"/>
      <c r="J31" s="156"/>
    </row>
    <row r="32" spans="1:10" x14ac:dyDescent="0.25">
      <c r="A32" s="41">
        <v>34</v>
      </c>
      <c r="B32" s="42" t="s">
        <v>177</v>
      </c>
      <c r="C32" s="163" t="s">
        <v>208</v>
      </c>
      <c r="D32" s="163">
        <v>10</v>
      </c>
      <c r="E32" s="139">
        <v>5.59</v>
      </c>
      <c r="F32" s="43">
        <f t="shared" si="1"/>
        <v>55.9</v>
      </c>
      <c r="H32" s="75"/>
      <c r="I32" s="75"/>
      <c r="J32" s="156"/>
    </row>
    <row r="33" spans="1:13" x14ac:dyDescent="0.25">
      <c r="A33" s="41">
        <v>35</v>
      </c>
      <c r="B33" s="42" t="s">
        <v>178</v>
      </c>
      <c r="C33" s="163" t="s">
        <v>208</v>
      </c>
      <c r="D33" s="163">
        <v>5</v>
      </c>
      <c r="E33" s="139">
        <v>6.6</v>
      </c>
      <c r="F33" s="43">
        <f t="shared" si="1"/>
        <v>33</v>
      </c>
      <c r="H33" s="75"/>
      <c r="I33" s="75"/>
      <c r="J33" s="156"/>
    </row>
    <row r="34" spans="1:13" x14ac:dyDescent="0.25">
      <c r="A34" s="41">
        <v>36</v>
      </c>
      <c r="B34" s="42" t="s">
        <v>179</v>
      </c>
      <c r="C34" s="163" t="s">
        <v>208</v>
      </c>
      <c r="D34" s="163">
        <v>10</v>
      </c>
      <c r="E34" s="139">
        <v>9.6</v>
      </c>
      <c r="F34" s="43">
        <f t="shared" si="1"/>
        <v>96</v>
      </c>
      <c r="H34" s="75"/>
      <c r="I34" s="75"/>
      <c r="J34" s="156"/>
    </row>
    <row r="35" spans="1:13" x14ac:dyDescent="0.25">
      <c r="A35" s="41">
        <v>37</v>
      </c>
      <c r="B35" s="42" t="s">
        <v>180</v>
      </c>
      <c r="C35" s="163" t="s">
        <v>208</v>
      </c>
      <c r="D35" s="163">
        <v>15</v>
      </c>
      <c r="E35" s="139">
        <v>11.54</v>
      </c>
      <c r="F35" s="43">
        <f t="shared" si="1"/>
        <v>173.1</v>
      </c>
      <c r="H35" s="75"/>
      <c r="I35" s="75"/>
      <c r="J35" s="156"/>
    </row>
    <row r="36" spans="1:13" x14ac:dyDescent="0.25">
      <c r="A36" s="41">
        <v>38</v>
      </c>
      <c r="B36" s="42" t="s">
        <v>181</v>
      </c>
      <c r="C36" s="163" t="s">
        <v>208</v>
      </c>
      <c r="D36" s="163">
        <v>15</v>
      </c>
      <c r="E36" s="139">
        <v>5.8</v>
      </c>
      <c r="F36" s="43">
        <f t="shared" si="1"/>
        <v>87</v>
      </c>
      <c r="H36" s="75"/>
      <c r="I36" s="75"/>
      <c r="J36" s="156"/>
    </row>
    <row r="37" spans="1:13" x14ac:dyDescent="0.25">
      <c r="A37" s="41">
        <v>39</v>
      </c>
      <c r="B37" s="42" t="s">
        <v>182</v>
      </c>
      <c r="C37" s="163" t="s">
        <v>253</v>
      </c>
      <c r="D37" s="163">
        <v>3</v>
      </c>
      <c r="E37" s="139">
        <v>3.7</v>
      </c>
      <c r="F37" s="43">
        <f t="shared" si="1"/>
        <v>11.100000000000001</v>
      </c>
      <c r="H37" s="75"/>
      <c r="I37" s="75"/>
      <c r="J37" s="156"/>
    </row>
    <row r="38" spans="1:13" x14ac:dyDescent="0.25">
      <c r="A38" s="41">
        <v>40</v>
      </c>
      <c r="B38" s="63" t="s">
        <v>183</v>
      </c>
      <c r="C38" s="163" t="s">
        <v>200</v>
      </c>
      <c r="D38" s="163">
        <v>20</v>
      </c>
      <c r="E38" s="139">
        <v>4.5999999999999996</v>
      </c>
      <c r="F38" s="43">
        <f t="shared" si="1"/>
        <v>92</v>
      </c>
      <c r="H38" s="75"/>
      <c r="I38" s="75"/>
      <c r="J38" s="156"/>
    </row>
    <row r="39" spans="1:13" x14ac:dyDescent="0.25">
      <c r="A39" s="41">
        <v>41</v>
      </c>
      <c r="B39" s="63" t="s">
        <v>184</v>
      </c>
      <c r="C39" s="163" t="s">
        <v>208</v>
      </c>
      <c r="D39" s="163">
        <v>1200</v>
      </c>
      <c r="E39" s="139">
        <v>0.24</v>
      </c>
      <c r="F39" s="43">
        <f t="shared" si="1"/>
        <v>288</v>
      </c>
      <c r="H39" s="75"/>
      <c r="I39" s="75"/>
      <c r="J39" s="156"/>
    </row>
    <row r="40" spans="1:13" x14ac:dyDescent="0.25">
      <c r="A40" s="41">
        <v>42</v>
      </c>
      <c r="B40" s="63" t="s">
        <v>185</v>
      </c>
      <c r="C40" s="163" t="s">
        <v>208</v>
      </c>
      <c r="D40" s="163">
        <v>1200</v>
      </c>
      <c r="E40" s="139">
        <v>0.36</v>
      </c>
      <c r="F40" s="43">
        <f t="shared" si="1"/>
        <v>432</v>
      </c>
      <c r="H40" s="75"/>
      <c r="I40" s="75"/>
      <c r="J40" s="156"/>
    </row>
    <row r="41" spans="1:13" x14ac:dyDescent="0.25">
      <c r="A41" s="41">
        <v>43</v>
      </c>
      <c r="B41" s="63" t="s">
        <v>186</v>
      </c>
      <c r="C41" s="163" t="s">
        <v>208</v>
      </c>
      <c r="D41" s="163">
        <v>1200</v>
      </c>
      <c r="E41" s="139">
        <v>0.13</v>
      </c>
      <c r="F41" s="43">
        <f t="shared" si="1"/>
        <v>156</v>
      </c>
      <c r="H41" s="75"/>
      <c r="I41" s="75"/>
      <c r="J41" s="156"/>
    </row>
    <row r="42" spans="1:13" x14ac:dyDescent="0.25">
      <c r="A42" s="41">
        <v>44</v>
      </c>
      <c r="B42" s="63" t="s">
        <v>254</v>
      </c>
      <c r="C42" s="163" t="s">
        <v>208</v>
      </c>
      <c r="D42" s="163">
        <v>1200</v>
      </c>
      <c r="E42" s="139">
        <v>1.26</v>
      </c>
      <c r="F42" s="43">
        <f t="shared" si="1"/>
        <v>1512</v>
      </c>
      <c r="H42" s="75"/>
      <c r="I42" s="75"/>
      <c r="J42" s="156"/>
    </row>
    <row r="43" spans="1:13" x14ac:dyDescent="0.25">
      <c r="A43" s="41">
        <v>45</v>
      </c>
      <c r="B43" s="63" t="s">
        <v>187</v>
      </c>
      <c r="C43" s="163" t="s">
        <v>208</v>
      </c>
      <c r="D43" s="163">
        <v>1200</v>
      </c>
      <c r="E43" s="139">
        <v>0.36</v>
      </c>
      <c r="F43" s="43">
        <f t="shared" si="1"/>
        <v>432</v>
      </c>
      <c r="H43" s="75"/>
      <c r="I43" s="75"/>
      <c r="J43" s="156"/>
    </row>
    <row r="44" spans="1:13" x14ac:dyDescent="0.25">
      <c r="A44" s="41">
        <v>46</v>
      </c>
      <c r="B44" s="63" t="s">
        <v>188</v>
      </c>
      <c r="C44" s="163" t="s">
        <v>208</v>
      </c>
      <c r="D44" s="163">
        <v>25</v>
      </c>
      <c r="E44" s="139">
        <v>7.7</v>
      </c>
      <c r="F44" s="43">
        <f t="shared" si="1"/>
        <v>192.5</v>
      </c>
      <c r="H44" s="75"/>
      <c r="I44" s="75"/>
      <c r="J44" s="156"/>
    </row>
    <row r="45" spans="1:13" x14ac:dyDescent="0.25">
      <c r="A45" s="41">
        <v>47</v>
      </c>
      <c r="B45" s="63" t="s">
        <v>189</v>
      </c>
      <c r="C45" s="163" t="s">
        <v>208</v>
      </c>
      <c r="D45" s="163">
        <v>5</v>
      </c>
      <c r="E45" s="139">
        <v>3.3</v>
      </c>
      <c r="F45" s="43">
        <f t="shared" si="1"/>
        <v>16.5</v>
      </c>
      <c r="H45" s="75"/>
      <c r="I45" s="75"/>
      <c r="J45" s="156"/>
    </row>
    <row r="46" spans="1:13" x14ac:dyDescent="0.25">
      <c r="A46" s="41">
        <v>48</v>
      </c>
      <c r="B46" s="63" t="s">
        <v>190</v>
      </c>
      <c r="C46" s="163" t="s">
        <v>208</v>
      </c>
      <c r="D46" s="163">
        <v>2</v>
      </c>
      <c r="E46" s="139">
        <v>14</v>
      </c>
      <c r="F46" s="43">
        <f t="shared" si="1"/>
        <v>28</v>
      </c>
      <c r="H46" s="75"/>
      <c r="I46" s="75"/>
      <c r="J46" s="156"/>
    </row>
    <row r="47" spans="1:13" ht="15.75" customHeight="1" x14ac:dyDescent="0.25">
      <c r="A47" s="45"/>
      <c r="B47" s="45"/>
      <c r="C47" s="249" t="s">
        <v>191</v>
      </c>
      <c r="D47" s="249"/>
      <c r="E47" s="249"/>
      <c r="F47" s="46">
        <f>SUM(F3:F46)</f>
        <v>14239.99</v>
      </c>
      <c r="H47" s="75"/>
      <c r="I47" s="76"/>
      <c r="M47" s="137"/>
    </row>
    <row r="48" spans="1:13" ht="15" customHeight="1" x14ac:dyDescent="0.25">
      <c r="C48" s="244" t="s">
        <v>192</v>
      </c>
      <c r="D48" s="244"/>
      <c r="E48" s="164">
        <v>5.0000000000000001E-3</v>
      </c>
      <c r="F48" s="47">
        <f>TRUNC((F47)*E48,2)</f>
        <v>71.19</v>
      </c>
      <c r="H48" s="75"/>
      <c r="I48" s="76"/>
    </row>
    <row r="49" spans="3:9" ht="15" customHeight="1" x14ac:dyDescent="0.25">
      <c r="C49" s="244" t="s">
        <v>193</v>
      </c>
      <c r="D49" s="244"/>
      <c r="E49" s="164">
        <v>5.0000000000000001E-3</v>
      </c>
      <c r="F49" s="47">
        <f>TRUNC((F47+F48)*E49,2)</f>
        <v>71.55</v>
      </c>
      <c r="H49" s="75"/>
      <c r="I49" s="76"/>
    </row>
    <row r="50" spans="3:9" ht="15" customHeight="1" x14ac:dyDescent="0.25">
      <c r="C50" s="244" t="s">
        <v>194</v>
      </c>
      <c r="D50" s="244"/>
      <c r="E50" s="164">
        <f>0.4%+1.82%+5%</f>
        <v>7.22E-2</v>
      </c>
      <c r="F50" s="47">
        <f>TRUNC((F47+F48+F49)*E50/(1-E50),2)</f>
        <v>1119.24</v>
      </c>
      <c r="H50" s="75"/>
      <c r="I50" s="76"/>
    </row>
    <row r="51" spans="3:9" ht="15" customHeight="1" x14ac:dyDescent="0.25">
      <c r="C51" s="245" t="s">
        <v>195</v>
      </c>
      <c r="D51" s="245"/>
      <c r="E51" s="245"/>
      <c r="F51" s="46">
        <f>SUM(F47:F50)</f>
        <v>15501.97</v>
      </c>
      <c r="H51" s="75"/>
      <c r="I51" s="76"/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sqref="A1:F1"/>
    </sheetView>
  </sheetViews>
  <sheetFormatPr defaultColWidth="9.140625" defaultRowHeight="15" x14ac:dyDescent="0.25"/>
  <cols>
    <col min="1" max="1" width="9.140625" style="36"/>
    <col min="2" max="2" width="86.85546875" style="36" customWidth="1"/>
    <col min="3" max="5" width="13.28515625" style="36" customWidth="1"/>
    <col min="6" max="6" width="15.5703125" style="36" customWidth="1"/>
    <col min="7" max="7" width="3.85546875" style="37" customWidth="1"/>
    <col min="8" max="8" width="6.28515625" style="37" customWidth="1"/>
    <col min="9" max="10" width="9.140625" style="37"/>
    <col min="11" max="11" width="11.7109375" style="37" customWidth="1"/>
    <col min="12" max="13" width="9.140625" style="37"/>
    <col min="14" max="1023" width="9.140625" style="36"/>
    <col min="1024" max="1024" width="11.5703125" style="30" customWidth="1"/>
  </cols>
  <sheetData>
    <row r="1" spans="1:1024" s="59" customFormat="1" ht="71.25" customHeight="1" x14ac:dyDescent="0.25">
      <c r="A1" s="251" t="s">
        <v>196</v>
      </c>
      <c r="B1" s="251"/>
      <c r="C1" s="251"/>
      <c r="D1" s="251"/>
      <c r="E1" s="251"/>
      <c r="F1" s="251"/>
      <c r="G1" s="58"/>
      <c r="H1" s="58"/>
      <c r="I1" s="58"/>
      <c r="J1" s="58"/>
      <c r="K1" s="58"/>
      <c r="L1" s="58"/>
      <c r="M1" s="58"/>
      <c r="AMJ1" s="60"/>
    </row>
    <row r="2" spans="1:1024" ht="25.5" x14ac:dyDescent="0.25">
      <c r="A2" s="40" t="s">
        <v>152</v>
      </c>
      <c r="B2" s="40" t="s">
        <v>153</v>
      </c>
      <c r="C2" s="40" t="s">
        <v>154</v>
      </c>
      <c r="D2" s="40" t="s">
        <v>155</v>
      </c>
      <c r="E2" s="40" t="s">
        <v>156</v>
      </c>
      <c r="F2" s="40" t="s">
        <v>157</v>
      </c>
    </row>
    <row r="3" spans="1:1024" x14ac:dyDescent="0.25">
      <c r="A3" s="41">
        <v>50</v>
      </c>
      <c r="B3" s="44" t="s">
        <v>197</v>
      </c>
      <c r="C3" s="41" t="s">
        <v>253</v>
      </c>
      <c r="D3" s="41">
        <v>3750</v>
      </c>
      <c r="E3" s="43">
        <v>0.39</v>
      </c>
      <c r="F3" s="43">
        <f t="shared" ref="F3:F8" si="0">(ROUND(E3,2)*D3)</f>
        <v>1462.5</v>
      </c>
      <c r="H3" s="75"/>
      <c r="I3" s="75"/>
      <c r="J3" s="157"/>
      <c r="K3" s="159"/>
    </row>
    <row r="4" spans="1:1024" x14ac:dyDescent="0.25">
      <c r="A4" s="41">
        <v>51</v>
      </c>
      <c r="B4" s="44" t="s">
        <v>198</v>
      </c>
      <c r="C4" s="41" t="s">
        <v>253</v>
      </c>
      <c r="D4" s="41">
        <v>50</v>
      </c>
      <c r="E4" s="43">
        <v>1</v>
      </c>
      <c r="F4" s="43">
        <f t="shared" si="0"/>
        <v>50</v>
      </c>
      <c r="H4" s="75"/>
      <c r="I4" s="75"/>
      <c r="J4" s="157"/>
      <c r="K4" s="159"/>
    </row>
    <row r="5" spans="1:1024" x14ac:dyDescent="0.25">
      <c r="A5" s="41">
        <v>52</v>
      </c>
      <c r="B5" s="44" t="s">
        <v>199</v>
      </c>
      <c r="C5" s="41" t="s">
        <v>200</v>
      </c>
      <c r="D5" s="41">
        <v>50</v>
      </c>
      <c r="E5" s="139">
        <v>20.6</v>
      </c>
      <c r="F5" s="43">
        <f t="shared" si="0"/>
        <v>1030</v>
      </c>
      <c r="H5" s="75"/>
      <c r="I5" s="75"/>
      <c r="J5" s="157"/>
      <c r="K5" s="159"/>
    </row>
    <row r="6" spans="1:1024" x14ac:dyDescent="0.25">
      <c r="A6" s="41">
        <v>53</v>
      </c>
      <c r="B6" s="44" t="s">
        <v>201</v>
      </c>
      <c r="C6" s="41" t="s">
        <v>253</v>
      </c>
      <c r="D6" s="41">
        <v>100</v>
      </c>
      <c r="E6" s="43">
        <v>11.8</v>
      </c>
      <c r="F6" s="43">
        <f t="shared" si="0"/>
        <v>1180</v>
      </c>
      <c r="H6" s="75"/>
      <c r="I6" s="75"/>
      <c r="J6" s="157"/>
      <c r="K6" s="159"/>
    </row>
    <row r="7" spans="1:1024" x14ac:dyDescent="0.25">
      <c r="A7" s="41">
        <v>54</v>
      </c>
      <c r="B7" s="44" t="s">
        <v>202</v>
      </c>
      <c r="C7" s="41" t="s">
        <v>253</v>
      </c>
      <c r="D7" s="41">
        <v>5</v>
      </c>
      <c r="E7" s="43">
        <v>10.9</v>
      </c>
      <c r="F7" s="43">
        <f t="shared" si="0"/>
        <v>54.5</v>
      </c>
      <c r="H7" s="75"/>
      <c r="I7" s="75"/>
      <c r="J7" s="157"/>
      <c r="K7" s="159"/>
    </row>
    <row r="8" spans="1:1024" x14ac:dyDescent="0.25">
      <c r="A8" s="41">
        <v>55</v>
      </c>
      <c r="B8" s="44" t="s">
        <v>203</v>
      </c>
      <c r="C8" s="41" t="s">
        <v>253</v>
      </c>
      <c r="D8" s="41">
        <v>5</v>
      </c>
      <c r="E8" s="43">
        <v>7.3</v>
      </c>
      <c r="F8" s="43">
        <f t="shared" si="0"/>
        <v>36.5</v>
      </c>
      <c r="H8" s="75"/>
      <c r="I8" s="75"/>
      <c r="J8" s="157"/>
      <c r="K8" s="159"/>
    </row>
    <row r="9" spans="1:1024" x14ac:dyDescent="0.25">
      <c r="A9" s="41">
        <v>56</v>
      </c>
      <c r="B9" s="44" t="s">
        <v>204</v>
      </c>
      <c r="C9" s="41" t="s">
        <v>205</v>
      </c>
      <c r="D9" s="41">
        <v>10</v>
      </c>
      <c r="E9" s="43">
        <v>1.29</v>
      </c>
      <c r="F9" s="43">
        <f t="shared" ref="F9" si="1">(ROUND(E9,2)*D9)</f>
        <v>12.9</v>
      </c>
      <c r="H9" s="75"/>
      <c r="I9" s="75"/>
      <c r="J9" s="157"/>
      <c r="K9" s="159"/>
    </row>
    <row r="10" spans="1:1024" ht="15.75" customHeight="1" x14ac:dyDescent="0.25">
      <c r="A10" s="45"/>
      <c r="B10" s="45"/>
      <c r="C10" s="245" t="s">
        <v>191</v>
      </c>
      <c r="D10" s="245"/>
      <c r="E10" s="245"/>
      <c r="F10" s="46">
        <f>SUM(F3:F9)</f>
        <v>3826.4</v>
      </c>
      <c r="H10" s="79"/>
      <c r="I10" s="76"/>
      <c r="J10" s="78"/>
      <c r="K10" s="159"/>
      <c r="L10" s="137"/>
    </row>
    <row r="11" spans="1:1024" ht="15" customHeight="1" x14ac:dyDescent="0.25">
      <c r="C11" s="250" t="s">
        <v>192</v>
      </c>
      <c r="D11" s="250"/>
      <c r="E11" s="164">
        <v>5.0000000000000001E-3</v>
      </c>
      <c r="F11" s="47">
        <f>TRUNC((F10)*E11,2)</f>
        <v>19.13</v>
      </c>
      <c r="H11" s="79"/>
      <c r="I11" s="76"/>
      <c r="J11" s="78"/>
    </row>
    <row r="12" spans="1:1024" ht="15" customHeight="1" x14ac:dyDescent="0.25">
      <c r="C12" s="250" t="s">
        <v>193</v>
      </c>
      <c r="D12" s="250"/>
      <c r="E12" s="164">
        <v>5.0000000000000001E-3</v>
      </c>
      <c r="F12" s="47">
        <f>TRUNC((F10+F11)*E12,2)</f>
        <v>19.22</v>
      </c>
      <c r="H12" s="79"/>
      <c r="I12" s="76"/>
      <c r="J12" s="78"/>
    </row>
    <row r="13" spans="1:1024" ht="15" customHeight="1" x14ac:dyDescent="0.25">
      <c r="C13" s="250" t="s">
        <v>194</v>
      </c>
      <c r="D13" s="250"/>
      <c r="E13" s="164">
        <f>0.4%+1.82%+5%</f>
        <v>7.22E-2</v>
      </c>
      <c r="F13" s="47">
        <f>TRUNC((F10+F11+F12)*E13/(1-E13),2)</f>
        <v>300.74</v>
      </c>
      <c r="H13" s="79"/>
      <c r="I13" s="76"/>
      <c r="J13" s="78"/>
    </row>
    <row r="14" spans="1:1024" ht="15" customHeight="1" x14ac:dyDescent="0.25">
      <c r="C14" s="245" t="s">
        <v>195</v>
      </c>
      <c r="D14" s="245"/>
      <c r="E14" s="245"/>
      <c r="F14" s="46">
        <f>SUM(F10:F13)</f>
        <v>4165.49</v>
      </c>
      <c r="H14" s="79"/>
      <c r="I14" s="76"/>
      <c r="J14" s="78"/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zoomScaleNormal="100" workbookViewId="0">
      <selection sqref="A1:F1"/>
    </sheetView>
  </sheetViews>
  <sheetFormatPr defaultColWidth="9.140625" defaultRowHeight="15" x14ac:dyDescent="0.25"/>
  <cols>
    <col min="1" max="1" width="9.140625" style="36"/>
    <col min="2" max="2" width="86.85546875" style="36" customWidth="1"/>
    <col min="3" max="5" width="13.28515625" style="36" customWidth="1"/>
    <col min="6" max="6" width="15.5703125" style="36" customWidth="1"/>
    <col min="7" max="7" width="3.7109375" style="37" customWidth="1"/>
    <col min="8" max="8" width="6.140625" style="37" customWidth="1"/>
    <col min="9" max="11" width="9.140625" style="37"/>
    <col min="12" max="12" width="13.7109375" style="37" customWidth="1"/>
    <col min="13" max="13" width="9.140625" style="37"/>
    <col min="14" max="1023" width="9.140625" style="36"/>
    <col min="1024" max="1024" width="11.5703125" style="30" customWidth="1"/>
  </cols>
  <sheetData>
    <row r="1" spans="1:1024" s="59" customFormat="1" ht="71.25" customHeight="1" x14ac:dyDescent="0.25">
      <c r="A1" s="251" t="s">
        <v>206</v>
      </c>
      <c r="B1" s="251"/>
      <c r="C1" s="251"/>
      <c r="D1" s="251"/>
      <c r="E1" s="251"/>
      <c r="F1" s="251"/>
      <c r="G1" s="58"/>
      <c r="H1" s="77"/>
      <c r="I1" s="77"/>
      <c r="J1" s="58"/>
      <c r="K1" s="58"/>
      <c r="L1" s="58"/>
      <c r="M1" s="58"/>
      <c r="AMJ1" s="60"/>
    </row>
    <row r="2" spans="1:1024" ht="25.5" x14ac:dyDescent="0.25">
      <c r="A2" s="40" t="s">
        <v>152</v>
      </c>
      <c r="B2" s="40" t="s">
        <v>153</v>
      </c>
      <c r="C2" s="40" t="s">
        <v>154</v>
      </c>
      <c r="D2" s="40" t="s">
        <v>155</v>
      </c>
      <c r="E2" s="40" t="s">
        <v>156</v>
      </c>
      <c r="F2" s="40" t="s">
        <v>157</v>
      </c>
      <c r="H2" s="75"/>
      <c r="I2" s="75"/>
    </row>
    <row r="3" spans="1:1024" x14ac:dyDescent="0.25">
      <c r="A3" s="41">
        <v>6</v>
      </c>
      <c r="B3" s="63" t="s">
        <v>158</v>
      </c>
      <c r="C3" s="41" t="s">
        <v>200</v>
      </c>
      <c r="D3" s="41">
        <v>36</v>
      </c>
      <c r="E3" s="139">
        <v>2.65</v>
      </c>
      <c r="F3" s="43">
        <f t="shared" ref="F3:F46" si="0">(ROUND(E3,2)*D3)</f>
        <v>95.399999999999991</v>
      </c>
      <c r="H3" s="75"/>
      <c r="I3" s="75"/>
      <c r="J3" s="156"/>
    </row>
    <row r="4" spans="1:1024" x14ac:dyDescent="0.25">
      <c r="A4" s="41">
        <v>7</v>
      </c>
      <c r="B4" s="63" t="s">
        <v>244</v>
      </c>
      <c r="C4" s="41" t="s">
        <v>200</v>
      </c>
      <c r="D4" s="41">
        <v>24</v>
      </c>
      <c r="E4" s="139">
        <v>8.9</v>
      </c>
      <c r="F4" s="43">
        <f t="shared" si="0"/>
        <v>213.60000000000002</v>
      </c>
      <c r="H4" s="75"/>
      <c r="I4" s="75"/>
      <c r="J4" s="156"/>
    </row>
    <row r="5" spans="1:1024" x14ac:dyDescent="0.25">
      <c r="A5" s="41">
        <v>8</v>
      </c>
      <c r="B5" s="63" t="s">
        <v>245</v>
      </c>
      <c r="C5" s="41" t="s">
        <v>200</v>
      </c>
      <c r="D5" s="41">
        <v>60</v>
      </c>
      <c r="E5" s="139">
        <v>8.3000000000000007</v>
      </c>
      <c r="F5" s="43">
        <f t="shared" si="0"/>
        <v>498.00000000000006</v>
      </c>
      <c r="H5" s="75"/>
      <c r="I5" s="75"/>
      <c r="J5" s="156"/>
    </row>
    <row r="6" spans="1:1024" x14ac:dyDescent="0.25">
      <c r="A6" s="41">
        <v>9</v>
      </c>
      <c r="B6" s="63" t="s">
        <v>246</v>
      </c>
      <c r="C6" s="41" t="s">
        <v>208</v>
      </c>
      <c r="D6" s="41">
        <v>30</v>
      </c>
      <c r="E6" s="139">
        <v>6.9</v>
      </c>
      <c r="F6" s="43">
        <f t="shared" si="0"/>
        <v>207</v>
      </c>
      <c r="H6" s="75"/>
      <c r="I6" s="75"/>
      <c r="J6" s="156"/>
    </row>
    <row r="7" spans="1:1024" x14ac:dyDescent="0.25">
      <c r="A7" s="41">
        <v>10</v>
      </c>
      <c r="B7" s="63" t="s">
        <v>247</v>
      </c>
      <c r="C7" s="41" t="s">
        <v>208</v>
      </c>
      <c r="D7" s="41">
        <v>10</v>
      </c>
      <c r="E7" s="139">
        <v>16</v>
      </c>
      <c r="F7" s="43">
        <f t="shared" si="0"/>
        <v>160</v>
      </c>
      <c r="H7" s="75"/>
      <c r="I7" s="75"/>
      <c r="J7" s="156"/>
    </row>
    <row r="8" spans="1:1024" x14ac:dyDescent="0.25">
      <c r="A8" s="41">
        <v>11</v>
      </c>
      <c r="B8" s="63" t="s">
        <v>248</v>
      </c>
      <c r="C8" s="41" t="s">
        <v>208</v>
      </c>
      <c r="D8" s="41">
        <v>15</v>
      </c>
      <c r="E8" s="139">
        <v>7.6</v>
      </c>
      <c r="F8" s="43">
        <f t="shared" si="0"/>
        <v>114</v>
      </c>
      <c r="H8" s="75"/>
      <c r="I8" s="75"/>
      <c r="J8" s="156"/>
    </row>
    <row r="9" spans="1:1024" x14ac:dyDescent="0.25">
      <c r="A9" s="41">
        <v>12</v>
      </c>
      <c r="B9" s="63" t="s">
        <v>159</v>
      </c>
      <c r="C9" s="41" t="s">
        <v>200</v>
      </c>
      <c r="D9" s="41">
        <v>10</v>
      </c>
      <c r="E9" s="139">
        <v>6</v>
      </c>
      <c r="F9" s="43">
        <f t="shared" si="0"/>
        <v>60</v>
      </c>
      <c r="H9" s="75"/>
      <c r="I9" s="75"/>
      <c r="J9" s="156"/>
    </row>
    <row r="10" spans="1:1024" x14ac:dyDescent="0.25">
      <c r="A10" s="41">
        <v>13</v>
      </c>
      <c r="B10" s="63" t="s">
        <v>160</v>
      </c>
      <c r="C10" s="41" t="s">
        <v>200</v>
      </c>
      <c r="D10" s="41">
        <v>25</v>
      </c>
      <c r="E10" s="139">
        <v>2.95</v>
      </c>
      <c r="F10" s="43">
        <f t="shared" si="0"/>
        <v>73.75</v>
      </c>
      <c r="H10" s="75"/>
      <c r="I10" s="75"/>
      <c r="J10" s="156"/>
    </row>
    <row r="11" spans="1:1024" x14ac:dyDescent="0.25">
      <c r="A11" s="41">
        <v>14</v>
      </c>
      <c r="B11" s="63" t="s">
        <v>161</v>
      </c>
      <c r="C11" s="41" t="s">
        <v>208</v>
      </c>
      <c r="D11" s="41">
        <v>150</v>
      </c>
      <c r="E11" s="139">
        <v>1.9</v>
      </c>
      <c r="F11" s="43">
        <f t="shared" si="0"/>
        <v>285</v>
      </c>
      <c r="H11" s="75"/>
      <c r="I11" s="75"/>
      <c r="J11" s="156"/>
    </row>
    <row r="12" spans="1:1024" x14ac:dyDescent="0.25">
      <c r="A12" s="41">
        <v>15</v>
      </c>
      <c r="B12" s="63" t="s">
        <v>162</v>
      </c>
      <c r="C12" s="41" t="s">
        <v>208</v>
      </c>
      <c r="D12" s="41">
        <v>36</v>
      </c>
      <c r="E12" s="139">
        <v>1.7</v>
      </c>
      <c r="F12" s="43">
        <f t="shared" si="0"/>
        <v>61.199999999999996</v>
      </c>
      <c r="H12" s="75"/>
      <c r="I12" s="75"/>
      <c r="J12" s="156"/>
    </row>
    <row r="13" spans="1:1024" x14ac:dyDescent="0.25">
      <c r="A13" s="41">
        <v>16</v>
      </c>
      <c r="B13" s="63" t="s">
        <v>163</v>
      </c>
      <c r="C13" s="41" t="s">
        <v>200</v>
      </c>
      <c r="D13" s="41">
        <v>40</v>
      </c>
      <c r="E13" s="139">
        <v>1.7</v>
      </c>
      <c r="F13" s="43">
        <f t="shared" si="0"/>
        <v>68</v>
      </c>
      <c r="H13" s="75"/>
      <c r="I13" s="75"/>
      <c r="J13" s="156"/>
    </row>
    <row r="14" spans="1:1024" x14ac:dyDescent="0.25">
      <c r="A14" s="41">
        <v>17</v>
      </c>
      <c r="B14" s="63" t="s">
        <v>164</v>
      </c>
      <c r="C14" s="41" t="s">
        <v>208</v>
      </c>
      <c r="D14" s="41">
        <v>10</v>
      </c>
      <c r="E14" s="139">
        <v>7.3</v>
      </c>
      <c r="F14" s="43">
        <f t="shared" si="0"/>
        <v>73</v>
      </c>
      <c r="H14" s="75"/>
      <c r="I14" s="75"/>
      <c r="J14" s="156"/>
    </row>
    <row r="15" spans="1:1024" x14ac:dyDescent="0.25">
      <c r="A15" s="41">
        <v>49</v>
      </c>
      <c r="B15" s="63" t="s">
        <v>255</v>
      </c>
      <c r="C15" s="41" t="s">
        <v>208</v>
      </c>
      <c r="D15" s="41">
        <v>2</v>
      </c>
      <c r="E15" s="139">
        <v>224.23</v>
      </c>
      <c r="F15" s="43">
        <f t="shared" ref="F15" si="1">(ROUND(E15,2)*D15)</f>
        <v>448.46</v>
      </c>
      <c r="H15" s="75"/>
      <c r="I15" s="75"/>
      <c r="J15" s="156"/>
    </row>
    <row r="16" spans="1:1024" x14ac:dyDescent="0.25">
      <c r="A16" s="41">
        <v>18</v>
      </c>
      <c r="B16" s="63" t="s">
        <v>165</v>
      </c>
      <c r="C16" s="41" t="s">
        <v>208</v>
      </c>
      <c r="D16" s="41">
        <v>20</v>
      </c>
      <c r="E16" s="139">
        <v>3.13</v>
      </c>
      <c r="F16" s="43">
        <f t="shared" si="0"/>
        <v>62.599999999999994</v>
      </c>
      <c r="H16" s="75"/>
      <c r="I16" s="75"/>
      <c r="J16" s="156"/>
    </row>
    <row r="17" spans="1:10" x14ac:dyDescent="0.25">
      <c r="A17" s="41">
        <v>19</v>
      </c>
      <c r="B17" s="63" t="s">
        <v>166</v>
      </c>
      <c r="C17" s="41" t="s">
        <v>208</v>
      </c>
      <c r="D17" s="41">
        <v>10</v>
      </c>
      <c r="E17" s="139">
        <v>18.5</v>
      </c>
      <c r="F17" s="43">
        <f t="shared" si="0"/>
        <v>185</v>
      </c>
      <c r="H17" s="75"/>
      <c r="I17" s="75"/>
      <c r="J17" s="156"/>
    </row>
    <row r="18" spans="1:10" x14ac:dyDescent="0.25">
      <c r="A18" s="41">
        <v>20</v>
      </c>
      <c r="B18" s="63" t="s">
        <v>167</v>
      </c>
      <c r="C18" s="41" t="s">
        <v>209</v>
      </c>
      <c r="D18" s="41">
        <v>10</v>
      </c>
      <c r="E18" s="139">
        <v>1.75</v>
      </c>
      <c r="F18" s="43">
        <f t="shared" si="0"/>
        <v>17.5</v>
      </c>
      <c r="H18" s="75"/>
      <c r="I18" s="75"/>
      <c r="J18" s="156"/>
    </row>
    <row r="19" spans="1:10" x14ac:dyDescent="0.25">
      <c r="A19" s="41">
        <v>21</v>
      </c>
      <c r="B19" s="63" t="s">
        <v>168</v>
      </c>
      <c r="C19" s="41" t="s">
        <v>208</v>
      </c>
      <c r="D19" s="41">
        <v>36</v>
      </c>
      <c r="E19" s="139">
        <v>0.64</v>
      </c>
      <c r="F19" s="43">
        <f t="shared" si="0"/>
        <v>23.04</v>
      </c>
      <c r="H19" s="75"/>
      <c r="I19" s="75"/>
      <c r="J19" s="156"/>
    </row>
    <row r="20" spans="1:10" x14ac:dyDescent="0.25">
      <c r="A20" s="41">
        <v>22</v>
      </c>
      <c r="B20" s="63" t="s">
        <v>249</v>
      </c>
      <c r="C20" s="41" t="s">
        <v>209</v>
      </c>
      <c r="D20" s="41">
        <v>10</v>
      </c>
      <c r="E20" s="139">
        <v>2.6</v>
      </c>
      <c r="F20" s="43">
        <f t="shared" si="0"/>
        <v>26</v>
      </c>
      <c r="H20" s="75"/>
      <c r="I20" s="75"/>
      <c r="J20" s="156"/>
    </row>
    <row r="21" spans="1:10" x14ac:dyDescent="0.25">
      <c r="A21" s="41">
        <v>23</v>
      </c>
      <c r="B21" s="63" t="s">
        <v>169</v>
      </c>
      <c r="C21" s="41" t="s">
        <v>208</v>
      </c>
      <c r="D21" s="41">
        <v>48</v>
      </c>
      <c r="E21" s="139">
        <v>1.55</v>
      </c>
      <c r="F21" s="43">
        <f t="shared" si="0"/>
        <v>74.400000000000006</v>
      </c>
      <c r="H21" s="75"/>
      <c r="I21" s="75"/>
      <c r="J21" s="156"/>
    </row>
    <row r="22" spans="1:10" x14ac:dyDescent="0.25">
      <c r="A22" s="41">
        <v>24</v>
      </c>
      <c r="B22" s="63" t="s">
        <v>170</v>
      </c>
      <c r="C22" s="41" t="s">
        <v>208</v>
      </c>
      <c r="D22" s="41">
        <v>10</v>
      </c>
      <c r="E22" s="139">
        <v>9.6</v>
      </c>
      <c r="F22" s="43">
        <f t="shared" si="0"/>
        <v>96</v>
      </c>
      <c r="H22" s="75"/>
      <c r="I22" s="75"/>
      <c r="J22" s="156"/>
    </row>
    <row r="23" spans="1:10" x14ac:dyDescent="0.25">
      <c r="A23" s="41">
        <v>25</v>
      </c>
      <c r="B23" s="63" t="s">
        <v>171</v>
      </c>
      <c r="C23" s="41" t="s">
        <v>208</v>
      </c>
      <c r="D23" s="41">
        <v>20</v>
      </c>
      <c r="E23" s="139">
        <v>2.63</v>
      </c>
      <c r="F23" s="43">
        <f t="shared" si="0"/>
        <v>52.599999999999994</v>
      </c>
      <c r="H23" s="75"/>
      <c r="I23" s="75"/>
      <c r="J23" s="156"/>
    </row>
    <row r="24" spans="1:10" x14ac:dyDescent="0.25">
      <c r="A24" s="41">
        <v>26</v>
      </c>
      <c r="B24" s="63" t="s">
        <v>172</v>
      </c>
      <c r="C24" s="41" t="s">
        <v>208</v>
      </c>
      <c r="D24" s="41">
        <v>48</v>
      </c>
      <c r="E24" s="139">
        <v>13</v>
      </c>
      <c r="F24" s="43">
        <f t="shared" si="0"/>
        <v>624</v>
      </c>
      <c r="H24" s="75"/>
      <c r="I24" s="75"/>
      <c r="J24" s="156"/>
    </row>
    <row r="25" spans="1:10" x14ac:dyDescent="0.25">
      <c r="A25" s="41">
        <v>27</v>
      </c>
      <c r="B25" s="63" t="s">
        <v>173</v>
      </c>
      <c r="C25" s="41" t="s">
        <v>208</v>
      </c>
      <c r="D25" s="41">
        <v>10</v>
      </c>
      <c r="E25" s="139">
        <v>3.6</v>
      </c>
      <c r="F25" s="43">
        <f t="shared" si="0"/>
        <v>36</v>
      </c>
      <c r="H25" s="75"/>
      <c r="I25" s="75"/>
      <c r="J25" s="156"/>
    </row>
    <row r="26" spans="1:10" x14ac:dyDescent="0.25">
      <c r="A26" s="41">
        <v>28</v>
      </c>
      <c r="B26" s="63" t="s">
        <v>250</v>
      </c>
      <c r="C26" s="41" t="s">
        <v>208</v>
      </c>
      <c r="D26" s="41">
        <v>50</v>
      </c>
      <c r="E26" s="139">
        <v>2.4500000000000002</v>
      </c>
      <c r="F26" s="43">
        <f t="shared" si="0"/>
        <v>122.50000000000001</v>
      </c>
      <c r="H26" s="75"/>
      <c r="I26" s="75"/>
      <c r="J26" s="156"/>
    </row>
    <row r="27" spans="1:10" x14ac:dyDescent="0.25">
      <c r="A27" s="41">
        <v>29</v>
      </c>
      <c r="B27" s="63" t="s">
        <v>174</v>
      </c>
      <c r="C27" s="41" t="s">
        <v>209</v>
      </c>
      <c r="D27" s="41">
        <v>20</v>
      </c>
      <c r="E27" s="139">
        <v>1.3</v>
      </c>
      <c r="F27" s="43">
        <f t="shared" si="0"/>
        <v>26</v>
      </c>
      <c r="H27" s="75"/>
      <c r="I27" s="75"/>
      <c r="J27" s="156"/>
    </row>
    <row r="28" spans="1:10" x14ac:dyDescent="0.25">
      <c r="A28" s="41">
        <v>30</v>
      </c>
      <c r="B28" s="63" t="s">
        <v>175</v>
      </c>
      <c r="C28" s="41" t="s">
        <v>208</v>
      </c>
      <c r="D28" s="41">
        <v>40</v>
      </c>
      <c r="E28" s="139">
        <v>5.0199999999999996</v>
      </c>
      <c r="F28" s="43">
        <f t="shared" si="0"/>
        <v>200.79999999999998</v>
      </c>
      <c r="H28" s="75"/>
      <c r="I28" s="75"/>
      <c r="J28" s="156"/>
    </row>
    <row r="29" spans="1:10" x14ac:dyDescent="0.25">
      <c r="A29" s="41">
        <v>31</v>
      </c>
      <c r="B29" s="63" t="s">
        <v>176</v>
      </c>
      <c r="C29" s="41" t="s">
        <v>208</v>
      </c>
      <c r="D29" s="41">
        <v>50</v>
      </c>
      <c r="E29" s="139">
        <v>3.15</v>
      </c>
      <c r="F29" s="43">
        <f t="shared" si="0"/>
        <v>157.5</v>
      </c>
      <c r="H29" s="75"/>
      <c r="I29" s="75"/>
      <c r="J29" s="156"/>
    </row>
    <row r="30" spans="1:10" ht="38.25" x14ac:dyDescent="0.25">
      <c r="A30" s="41">
        <v>32</v>
      </c>
      <c r="B30" s="63" t="s">
        <v>251</v>
      </c>
      <c r="C30" s="41" t="s">
        <v>207</v>
      </c>
      <c r="D30" s="41">
        <v>70</v>
      </c>
      <c r="E30" s="139">
        <v>86</v>
      </c>
      <c r="F30" s="43">
        <f t="shared" si="0"/>
        <v>6020</v>
      </c>
      <c r="H30" s="75"/>
      <c r="I30" s="75"/>
      <c r="J30" s="156"/>
    </row>
    <row r="31" spans="1:10" ht="25.5" x14ac:dyDescent="0.25">
      <c r="A31" s="41">
        <v>33</v>
      </c>
      <c r="B31" s="63" t="s">
        <v>252</v>
      </c>
      <c r="C31" s="41" t="s">
        <v>210</v>
      </c>
      <c r="D31" s="41">
        <v>200</v>
      </c>
      <c r="E31" s="139">
        <v>23.6</v>
      </c>
      <c r="F31" s="43">
        <f t="shared" si="0"/>
        <v>4720</v>
      </c>
      <c r="H31" s="75"/>
      <c r="I31" s="75"/>
      <c r="J31" s="156"/>
    </row>
    <row r="32" spans="1:10" x14ac:dyDescent="0.25">
      <c r="A32" s="41">
        <v>34</v>
      </c>
      <c r="B32" s="63" t="s">
        <v>177</v>
      </c>
      <c r="C32" s="41" t="s">
        <v>208</v>
      </c>
      <c r="D32" s="41">
        <v>10</v>
      </c>
      <c r="E32" s="139">
        <v>5.59</v>
      </c>
      <c r="F32" s="43">
        <f t="shared" si="0"/>
        <v>55.9</v>
      </c>
      <c r="H32" s="75"/>
      <c r="I32" s="75"/>
      <c r="J32" s="156"/>
    </row>
    <row r="33" spans="1:12" x14ac:dyDescent="0.25">
      <c r="A33" s="41">
        <v>35</v>
      </c>
      <c r="B33" s="63" t="s">
        <v>178</v>
      </c>
      <c r="C33" s="41" t="s">
        <v>208</v>
      </c>
      <c r="D33" s="41">
        <v>10</v>
      </c>
      <c r="E33" s="139">
        <v>6.6</v>
      </c>
      <c r="F33" s="43">
        <f t="shared" si="0"/>
        <v>66</v>
      </c>
      <c r="H33" s="75"/>
      <c r="I33" s="75"/>
      <c r="J33" s="156"/>
    </row>
    <row r="34" spans="1:12" x14ac:dyDescent="0.25">
      <c r="A34" s="41">
        <v>36</v>
      </c>
      <c r="B34" s="63" t="s">
        <v>179</v>
      </c>
      <c r="C34" s="41" t="s">
        <v>208</v>
      </c>
      <c r="D34" s="41">
        <v>15</v>
      </c>
      <c r="E34" s="139">
        <v>9.6</v>
      </c>
      <c r="F34" s="43">
        <f t="shared" si="0"/>
        <v>144</v>
      </c>
      <c r="H34" s="75"/>
      <c r="I34" s="75"/>
      <c r="J34" s="156"/>
    </row>
    <row r="35" spans="1:12" x14ac:dyDescent="0.25">
      <c r="A35" s="41">
        <v>37</v>
      </c>
      <c r="B35" s="63" t="s">
        <v>180</v>
      </c>
      <c r="C35" s="41" t="s">
        <v>208</v>
      </c>
      <c r="D35" s="41">
        <v>15</v>
      </c>
      <c r="E35" s="139">
        <v>11.54</v>
      </c>
      <c r="F35" s="43">
        <f t="shared" si="0"/>
        <v>173.1</v>
      </c>
      <c r="H35" s="75"/>
      <c r="I35" s="75"/>
      <c r="J35" s="156"/>
    </row>
    <row r="36" spans="1:12" x14ac:dyDescent="0.25">
      <c r="A36" s="41">
        <v>38</v>
      </c>
      <c r="B36" s="63" t="s">
        <v>181</v>
      </c>
      <c r="C36" s="41" t="s">
        <v>208</v>
      </c>
      <c r="D36" s="41">
        <v>15</v>
      </c>
      <c r="E36" s="139">
        <v>5.8</v>
      </c>
      <c r="F36" s="43">
        <f t="shared" si="0"/>
        <v>87</v>
      </c>
      <c r="H36" s="75"/>
      <c r="I36" s="75"/>
      <c r="J36" s="156"/>
    </row>
    <row r="37" spans="1:12" x14ac:dyDescent="0.25">
      <c r="A37" s="41">
        <v>39</v>
      </c>
      <c r="B37" s="63" t="s">
        <v>182</v>
      </c>
      <c r="C37" s="41" t="s">
        <v>253</v>
      </c>
      <c r="D37" s="41">
        <v>5</v>
      </c>
      <c r="E37" s="139">
        <v>3.7</v>
      </c>
      <c r="F37" s="43">
        <f t="shared" si="0"/>
        <v>18.5</v>
      </c>
      <c r="H37" s="75"/>
      <c r="I37" s="75"/>
      <c r="J37" s="156"/>
    </row>
    <row r="38" spans="1:12" x14ac:dyDescent="0.25">
      <c r="A38" s="41">
        <v>40</v>
      </c>
      <c r="B38" s="63" t="s">
        <v>183</v>
      </c>
      <c r="C38" s="41" t="s">
        <v>200</v>
      </c>
      <c r="D38" s="41">
        <v>25</v>
      </c>
      <c r="E38" s="139">
        <v>4.5999999999999996</v>
      </c>
      <c r="F38" s="43">
        <f t="shared" si="0"/>
        <v>114.99999999999999</v>
      </c>
      <c r="H38" s="75"/>
      <c r="I38" s="75"/>
      <c r="J38" s="156"/>
    </row>
    <row r="39" spans="1:12" x14ac:dyDescent="0.25">
      <c r="A39" s="41">
        <v>41</v>
      </c>
      <c r="B39" s="63" t="s">
        <v>184</v>
      </c>
      <c r="C39" s="41" t="s">
        <v>208</v>
      </c>
      <c r="D39" s="41">
        <v>1500</v>
      </c>
      <c r="E39" s="139">
        <v>0.24</v>
      </c>
      <c r="F39" s="43">
        <f t="shared" si="0"/>
        <v>360</v>
      </c>
      <c r="H39" s="75"/>
      <c r="I39" s="75"/>
      <c r="J39" s="156"/>
    </row>
    <row r="40" spans="1:12" x14ac:dyDescent="0.25">
      <c r="A40" s="41">
        <v>42</v>
      </c>
      <c r="B40" s="63" t="s">
        <v>185</v>
      </c>
      <c r="C40" s="41" t="s">
        <v>208</v>
      </c>
      <c r="D40" s="41">
        <v>1500</v>
      </c>
      <c r="E40" s="139">
        <v>0.36</v>
      </c>
      <c r="F40" s="43">
        <f t="shared" si="0"/>
        <v>540</v>
      </c>
      <c r="H40" s="75"/>
      <c r="I40" s="75"/>
      <c r="J40" s="156"/>
    </row>
    <row r="41" spans="1:12" x14ac:dyDescent="0.25">
      <c r="A41" s="41">
        <v>43</v>
      </c>
      <c r="B41" s="63" t="s">
        <v>186</v>
      </c>
      <c r="C41" s="41" t="s">
        <v>208</v>
      </c>
      <c r="D41" s="41">
        <v>1500</v>
      </c>
      <c r="E41" s="139">
        <v>0.13</v>
      </c>
      <c r="F41" s="43">
        <f t="shared" si="0"/>
        <v>195</v>
      </c>
      <c r="H41" s="75"/>
      <c r="I41" s="75"/>
      <c r="J41" s="156"/>
    </row>
    <row r="42" spans="1:12" x14ac:dyDescent="0.25">
      <c r="A42" s="41">
        <v>44</v>
      </c>
      <c r="B42" s="63" t="s">
        <v>254</v>
      </c>
      <c r="C42" s="41" t="s">
        <v>208</v>
      </c>
      <c r="D42" s="41">
        <v>1200</v>
      </c>
      <c r="E42" s="139">
        <v>1.26</v>
      </c>
      <c r="F42" s="43">
        <f t="shared" si="0"/>
        <v>1512</v>
      </c>
      <c r="H42" s="75"/>
      <c r="I42" s="75"/>
      <c r="J42" s="156"/>
    </row>
    <row r="43" spans="1:12" x14ac:dyDescent="0.25">
      <c r="A43" s="41">
        <v>45</v>
      </c>
      <c r="B43" s="63" t="s">
        <v>187</v>
      </c>
      <c r="C43" s="41" t="s">
        <v>208</v>
      </c>
      <c r="D43" s="41">
        <v>1500</v>
      </c>
      <c r="E43" s="139">
        <v>0.36</v>
      </c>
      <c r="F43" s="43">
        <f t="shared" si="0"/>
        <v>540</v>
      </c>
      <c r="H43" s="75"/>
      <c r="I43" s="75"/>
      <c r="J43" s="156"/>
    </row>
    <row r="44" spans="1:12" x14ac:dyDescent="0.25">
      <c r="A44" s="41">
        <v>46</v>
      </c>
      <c r="B44" s="63" t="s">
        <v>188</v>
      </c>
      <c r="C44" s="41" t="s">
        <v>208</v>
      </c>
      <c r="D44" s="41">
        <v>35</v>
      </c>
      <c r="E44" s="139">
        <v>7.7</v>
      </c>
      <c r="F44" s="43">
        <f t="shared" si="0"/>
        <v>269.5</v>
      </c>
      <c r="H44" s="75"/>
      <c r="I44" s="75"/>
      <c r="J44" s="156"/>
    </row>
    <row r="45" spans="1:12" x14ac:dyDescent="0.25">
      <c r="A45" s="41">
        <v>47</v>
      </c>
      <c r="B45" s="63" t="s">
        <v>189</v>
      </c>
      <c r="C45" s="41" t="s">
        <v>208</v>
      </c>
      <c r="D45" s="41">
        <v>10</v>
      </c>
      <c r="E45" s="139">
        <v>3.3</v>
      </c>
      <c r="F45" s="43">
        <f t="shared" si="0"/>
        <v>33</v>
      </c>
      <c r="H45" s="75"/>
      <c r="I45" s="75"/>
      <c r="J45" s="156"/>
    </row>
    <row r="46" spans="1:12" x14ac:dyDescent="0.25">
      <c r="A46" s="41">
        <v>48</v>
      </c>
      <c r="B46" s="63" t="s">
        <v>190</v>
      </c>
      <c r="C46" s="41" t="s">
        <v>208</v>
      </c>
      <c r="D46" s="41">
        <v>2</v>
      </c>
      <c r="E46" s="139">
        <v>14</v>
      </c>
      <c r="F46" s="43">
        <f t="shared" si="0"/>
        <v>28</v>
      </c>
      <c r="H46" s="75"/>
      <c r="I46" s="75"/>
      <c r="J46" s="156"/>
    </row>
    <row r="47" spans="1:12" ht="15.75" customHeight="1" x14ac:dyDescent="0.25">
      <c r="A47" s="45"/>
      <c r="B47" s="45"/>
      <c r="C47" s="245" t="s">
        <v>191</v>
      </c>
      <c r="D47" s="245"/>
      <c r="E47" s="245"/>
      <c r="F47" s="46">
        <f>SUM(F3:F46)</f>
        <v>18938.349999999999</v>
      </c>
      <c r="H47" s="75"/>
      <c r="I47" s="76"/>
      <c r="L47" s="137"/>
    </row>
    <row r="48" spans="1:12" ht="15" customHeight="1" x14ac:dyDescent="0.25">
      <c r="C48" s="250" t="s">
        <v>192</v>
      </c>
      <c r="D48" s="250"/>
      <c r="E48" s="164">
        <v>5.0000000000000001E-3</v>
      </c>
      <c r="F48" s="47">
        <f>TRUNC((F47)*E48,2)</f>
        <v>94.69</v>
      </c>
      <c r="H48" s="75"/>
      <c r="I48" s="76"/>
    </row>
    <row r="49" spans="3:9" ht="15" customHeight="1" x14ac:dyDescent="0.25">
      <c r="C49" s="250" t="s">
        <v>193</v>
      </c>
      <c r="D49" s="250"/>
      <c r="E49" s="164">
        <v>5.0000000000000001E-3</v>
      </c>
      <c r="F49" s="47">
        <f>TRUNC((F47+F48)*E49,2)</f>
        <v>95.16</v>
      </c>
      <c r="H49" s="75"/>
      <c r="I49" s="76"/>
    </row>
    <row r="50" spans="3:9" ht="15" customHeight="1" x14ac:dyDescent="0.25">
      <c r="C50" s="250" t="s">
        <v>194</v>
      </c>
      <c r="D50" s="250"/>
      <c r="E50" s="164">
        <f>0.4%+1.82%+5%</f>
        <v>7.22E-2</v>
      </c>
      <c r="F50" s="47">
        <f>TRUNC((F47+F48+F49)*E50/(1-E50),2)</f>
        <v>1488.52</v>
      </c>
      <c r="H50" s="75"/>
      <c r="I50" s="76"/>
    </row>
    <row r="51" spans="3:9" ht="15" customHeight="1" x14ac:dyDescent="0.25">
      <c r="C51" s="245" t="s">
        <v>195</v>
      </c>
      <c r="D51" s="245"/>
      <c r="E51" s="245"/>
      <c r="F51" s="46">
        <f>SUM(F47:F50)</f>
        <v>20616.719999999998</v>
      </c>
      <c r="H51" s="75"/>
      <c r="I51" s="76"/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sqref="A1:F1"/>
    </sheetView>
  </sheetViews>
  <sheetFormatPr defaultColWidth="9.140625" defaultRowHeight="15" x14ac:dyDescent="0.25"/>
  <cols>
    <col min="1" max="1" width="9.140625" style="36"/>
    <col min="2" max="2" width="86.85546875" style="36" customWidth="1"/>
    <col min="3" max="5" width="13.28515625" style="36" customWidth="1"/>
    <col min="6" max="6" width="15.5703125" style="36" customWidth="1"/>
    <col min="7" max="7" width="2.5703125" style="37" customWidth="1"/>
    <col min="8" max="10" width="9.140625" style="37"/>
    <col min="11" max="11" width="10.85546875" style="37" customWidth="1"/>
    <col min="12" max="13" width="9.140625" style="37"/>
    <col min="14" max="1023" width="9.140625" style="36"/>
    <col min="1024" max="1024" width="11.5703125" style="30" customWidth="1"/>
  </cols>
  <sheetData>
    <row r="1" spans="1:1024" s="39" customFormat="1" ht="71.25" customHeight="1" x14ac:dyDescent="0.25">
      <c r="A1" s="246" t="s">
        <v>211</v>
      </c>
      <c r="B1" s="247"/>
      <c r="C1" s="247"/>
      <c r="D1" s="247"/>
      <c r="E1" s="247"/>
      <c r="F1" s="248"/>
      <c r="G1" s="38"/>
      <c r="H1" s="38"/>
      <c r="I1" s="38"/>
      <c r="J1" s="38"/>
      <c r="K1" s="38"/>
      <c r="L1" s="38"/>
      <c r="M1" s="38"/>
      <c r="AMJ1" s="30"/>
    </row>
    <row r="2" spans="1:1024" ht="25.5" x14ac:dyDescent="0.25">
      <c r="A2" s="40" t="s">
        <v>152</v>
      </c>
      <c r="B2" s="40" t="s">
        <v>153</v>
      </c>
      <c r="C2" s="40" t="s">
        <v>154</v>
      </c>
      <c r="D2" s="40" t="s">
        <v>155</v>
      </c>
      <c r="E2" s="40" t="s">
        <v>156</v>
      </c>
      <c r="F2" s="40" t="s">
        <v>157</v>
      </c>
    </row>
    <row r="3" spans="1:1024" x14ac:dyDescent="0.25">
      <c r="A3" s="41">
        <v>50</v>
      </c>
      <c r="B3" s="44" t="s">
        <v>197</v>
      </c>
      <c r="C3" s="41" t="s">
        <v>253</v>
      </c>
      <c r="D3" s="41">
        <v>5000</v>
      </c>
      <c r="E3" s="43">
        <v>0.39</v>
      </c>
      <c r="F3" s="43">
        <f t="shared" ref="F3:F9" si="0">(ROUND(E3,2)*D3)</f>
        <v>1950</v>
      </c>
      <c r="H3" s="75"/>
      <c r="I3" s="75"/>
      <c r="J3" s="137"/>
      <c r="K3" s="159"/>
    </row>
    <row r="4" spans="1:1024" x14ac:dyDescent="0.25">
      <c r="A4" s="41">
        <v>51</v>
      </c>
      <c r="B4" s="44" t="s">
        <v>198</v>
      </c>
      <c r="C4" s="41" t="s">
        <v>253</v>
      </c>
      <c r="D4" s="41">
        <v>100</v>
      </c>
      <c r="E4" s="43">
        <v>1</v>
      </c>
      <c r="F4" s="43">
        <f t="shared" si="0"/>
        <v>100</v>
      </c>
      <c r="H4" s="75"/>
      <c r="I4" s="75"/>
      <c r="J4" s="137"/>
      <c r="K4" s="159"/>
    </row>
    <row r="5" spans="1:1024" x14ac:dyDescent="0.25">
      <c r="A5" s="41">
        <v>52</v>
      </c>
      <c r="B5" s="44" t="s">
        <v>199</v>
      </c>
      <c r="C5" s="41" t="s">
        <v>200</v>
      </c>
      <c r="D5" s="41">
        <v>100</v>
      </c>
      <c r="E5" s="139">
        <v>20.6</v>
      </c>
      <c r="F5" s="43">
        <f t="shared" si="0"/>
        <v>2060</v>
      </c>
      <c r="H5" s="75"/>
      <c r="I5" s="75"/>
      <c r="J5" s="137"/>
      <c r="K5" s="159"/>
    </row>
    <row r="6" spans="1:1024" x14ac:dyDescent="0.25">
      <c r="A6" s="41">
        <v>53</v>
      </c>
      <c r="B6" s="44" t="s">
        <v>201</v>
      </c>
      <c r="C6" s="41" t="s">
        <v>253</v>
      </c>
      <c r="D6" s="41">
        <v>100</v>
      </c>
      <c r="E6" s="43">
        <v>11.8</v>
      </c>
      <c r="F6" s="43">
        <f t="shared" si="0"/>
        <v>1180</v>
      </c>
      <c r="H6" s="75"/>
      <c r="I6" s="75"/>
      <c r="J6" s="137"/>
      <c r="K6" s="159"/>
    </row>
    <row r="7" spans="1:1024" x14ac:dyDescent="0.25">
      <c r="A7" s="41">
        <v>54</v>
      </c>
      <c r="B7" s="44" t="s">
        <v>202</v>
      </c>
      <c r="C7" s="41" t="s">
        <v>253</v>
      </c>
      <c r="D7" s="41">
        <v>5</v>
      </c>
      <c r="E7" s="43">
        <v>10.9</v>
      </c>
      <c r="F7" s="43">
        <f t="shared" si="0"/>
        <v>54.5</v>
      </c>
      <c r="H7" s="75"/>
      <c r="I7" s="75"/>
      <c r="J7" s="137"/>
      <c r="K7" s="159"/>
    </row>
    <row r="8" spans="1:1024" x14ac:dyDescent="0.25">
      <c r="A8" s="41">
        <v>55</v>
      </c>
      <c r="B8" s="44" t="s">
        <v>203</v>
      </c>
      <c r="C8" s="41" t="s">
        <v>253</v>
      </c>
      <c r="D8" s="41">
        <v>5</v>
      </c>
      <c r="E8" s="43">
        <v>7.3</v>
      </c>
      <c r="F8" s="43">
        <f t="shared" si="0"/>
        <v>36.5</v>
      </c>
      <c r="H8" s="75"/>
      <c r="I8" s="75"/>
      <c r="J8" s="137"/>
      <c r="K8" s="159"/>
    </row>
    <row r="9" spans="1:1024" x14ac:dyDescent="0.25">
      <c r="A9" s="41">
        <v>56</v>
      </c>
      <c r="B9" s="44" t="s">
        <v>204</v>
      </c>
      <c r="C9" s="41" t="s">
        <v>205</v>
      </c>
      <c r="D9" s="41">
        <v>10</v>
      </c>
      <c r="E9" s="43">
        <v>1.29</v>
      </c>
      <c r="F9" s="43">
        <f t="shared" si="0"/>
        <v>12.9</v>
      </c>
      <c r="H9" s="75"/>
      <c r="I9" s="75"/>
      <c r="J9" s="137"/>
      <c r="K9" s="159"/>
    </row>
    <row r="10" spans="1:1024" ht="15.75" customHeight="1" x14ac:dyDescent="0.25">
      <c r="A10" s="45"/>
      <c r="B10" s="45"/>
      <c r="C10" s="245" t="s">
        <v>191</v>
      </c>
      <c r="D10" s="245"/>
      <c r="E10" s="245"/>
      <c r="F10" s="46">
        <f>SUM(F3:F9)</f>
        <v>5393.9</v>
      </c>
      <c r="H10" s="75"/>
      <c r="I10" s="76"/>
      <c r="K10" s="159"/>
      <c r="L10" s="137"/>
    </row>
    <row r="11" spans="1:1024" ht="15" customHeight="1" x14ac:dyDescent="0.25">
      <c r="C11" s="250" t="s">
        <v>192</v>
      </c>
      <c r="D11" s="250"/>
      <c r="E11" s="164">
        <v>5.0000000000000001E-3</v>
      </c>
      <c r="F11" s="47">
        <f>TRUNC((F10)*E11,2)</f>
        <v>26.96</v>
      </c>
      <c r="H11" s="75"/>
      <c r="I11" s="76"/>
    </row>
    <row r="12" spans="1:1024" ht="15" customHeight="1" x14ac:dyDescent="0.25">
      <c r="C12" s="250" t="s">
        <v>193</v>
      </c>
      <c r="D12" s="250"/>
      <c r="E12" s="164">
        <v>5.0000000000000001E-3</v>
      </c>
      <c r="F12" s="47">
        <f>TRUNC((F10+F11)*E12,2)</f>
        <v>27.1</v>
      </c>
      <c r="H12" s="75"/>
      <c r="I12" s="76"/>
    </row>
    <row r="13" spans="1:1024" ht="15" customHeight="1" x14ac:dyDescent="0.25">
      <c r="C13" s="250" t="s">
        <v>194</v>
      </c>
      <c r="D13" s="250"/>
      <c r="E13" s="164">
        <f>0.4%+1.82%+5%</f>
        <v>7.22E-2</v>
      </c>
      <c r="F13" s="47">
        <f>TRUNC((F10+F11+F12)*E13/(1-E13),2)</f>
        <v>423.95</v>
      </c>
      <c r="H13" s="75"/>
      <c r="I13" s="76"/>
    </row>
    <row r="14" spans="1:1024" ht="15" customHeight="1" x14ac:dyDescent="0.25">
      <c r="C14" s="245" t="s">
        <v>195</v>
      </c>
      <c r="D14" s="245"/>
      <c r="E14" s="245"/>
      <c r="F14" s="46">
        <f>SUM(F10:F13)</f>
        <v>5871.91</v>
      </c>
      <c r="H14" s="75"/>
      <c r="I14" s="76"/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2"/>
  <sheetViews>
    <sheetView view="pageBreakPreview" zoomScaleNormal="100" workbookViewId="0">
      <selection sqref="A1:F1"/>
    </sheetView>
  </sheetViews>
  <sheetFormatPr defaultColWidth="9.140625" defaultRowHeight="15" x14ac:dyDescent="0.25"/>
  <cols>
    <col min="1" max="1" width="9.140625" style="36"/>
    <col min="2" max="2" width="54.5703125" style="36" customWidth="1"/>
    <col min="3" max="3" width="17.140625" style="36" customWidth="1"/>
    <col min="4" max="4" width="14.28515625" style="36" customWidth="1"/>
    <col min="5" max="5" width="15.140625" style="36" customWidth="1"/>
    <col min="6" max="6" width="18.140625" style="36" customWidth="1"/>
    <col min="7" max="7" width="2.5703125" style="37" customWidth="1"/>
    <col min="8" max="8" width="7.85546875" style="37" customWidth="1"/>
    <col min="9" max="13" width="9.140625" style="37"/>
    <col min="14" max="1023" width="9.140625" style="36"/>
    <col min="1024" max="1024" width="11.5703125" style="30" customWidth="1"/>
  </cols>
  <sheetData>
    <row r="1" spans="1:1024" s="39" customFormat="1" ht="35.1" customHeight="1" x14ac:dyDescent="0.25">
      <c r="A1" s="259" t="s">
        <v>327</v>
      </c>
      <c r="B1" s="260"/>
      <c r="C1" s="260"/>
      <c r="D1" s="260"/>
      <c r="E1" s="260"/>
      <c r="F1" s="261"/>
      <c r="G1" s="38"/>
      <c r="H1" s="38"/>
      <c r="I1" s="38"/>
      <c r="J1" s="38"/>
      <c r="K1" s="38"/>
      <c r="L1" s="38"/>
      <c r="M1" s="38"/>
      <c r="AMJ1" s="30"/>
    </row>
    <row r="2" spans="1:1024" ht="25.5" x14ac:dyDescent="0.25">
      <c r="A2" s="40" t="s">
        <v>152</v>
      </c>
      <c r="B2" s="40" t="s">
        <v>153</v>
      </c>
      <c r="C2" s="40" t="s">
        <v>154</v>
      </c>
      <c r="D2" s="40" t="s">
        <v>324</v>
      </c>
      <c r="E2" s="40" t="s">
        <v>156</v>
      </c>
      <c r="F2" s="40" t="s">
        <v>157</v>
      </c>
    </row>
    <row r="3" spans="1:1024" x14ac:dyDescent="0.25">
      <c r="A3" s="41">
        <v>1</v>
      </c>
      <c r="B3" s="138" t="s">
        <v>318</v>
      </c>
      <c r="C3" s="41" t="s">
        <v>208</v>
      </c>
      <c r="D3" s="41">
        <v>4</v>
      </c>
      <c r="E3" s="43">
        <v>35.65</v>
      </c>
      <c r="F3" s="43">
        <f t="shared" ref="F3:F7" si="0">(ROUND(E3,2)*D3)</f>
        <v>142.6</v>
      </c>
      <c r="H3" s="75"/>
      <c r="I3" s="75"/>
    </row>
    <row r="4" spans="1:1024" x14ac:dyDescent="0.25">
      <c r="A4" s="41">
        <v>2</v>
      </c>
      <c r="B4" s="138" t="s">
        <v>319</v>
      </c>
      <c r="C4" s="41" t="s">
        <v>208</v>
      </c>
      <c r="D4" s="41">
        <v>4</v>
      </c>
      <c r="E4" s="43">
        <v>18.97</v>
      </c>
      <c r="F4" s="43">
        <f t="shared" si="0"/>
        <v>75.88</v>
      </c>
      <c r="H4" s="75"/>
      <c r="I4" s="75"/>
    </row>
    <row r="5" spans="1:1024" x14ac:dyDescent="0.25">
      <c r="A5" s="41">
        <v>3</v>
      </c>
      <c r="B5" s="138" t="s">
        <v>320</v>
      </c>
      <c r="C5" s="41" t="s">
        <v>323</v>
      </c>
      <c r="D5" s="41">
        <v>8</v>
      </c>
      <c r="E5" s="139">
        <v>3.2</v>
      </c>
      <c r="F5" s="43">
        <f t="shared" si="0"/>
        <v>25.6</v>
      </c>
      <c r="H5" s="75"/>
      <c r="I5" s="75"/>
    </row>
    <row r="6" spans="1:1024" x14ac:dyDescent="0.25">
      <c r="A6" s="41">
        <v>4</v>
      </c>
      <c r="B6" s="138" t="s">
        <v>321</v>
      </c>
      <c r="C6" s="41" t="s">
        <v>323</v>
      </c>
      <c r="D6" s="41">
        <v>4</v>
      </c>
      <c r="E6" s="43">
        <v>46.68</v>
      </c>
      <c r="F6" s="43">
        <f t="shared" si="0"/>
        <v>186.72</v>
      </c>
      <c r="H6" s="75"/>
      <c r="I6" s="75"/>
    </row>
    <row r="7" spans="1:1024" ht="54.95" customHeight="1" x14ac:dyDescent="0.25">
      <c r="A7" s="41">
        <v>5</v>
      </c>
      <c r="B7" s="138" t="s">
        <v>322</v>
      </c>
      <c r="C7" s="41" t="s">
        <v>208</v>
      </c>
      <c r="D7" s="41">
        <v>1</v>
      </c>
      <c r="E7" s="43">
        <v>6</v>
      </c>
      <c r="F7" s="43">
        <f t="shared" si="0"/>
        <v>6</v>
      </c>
      <c r="H7" s="75"/>
      <c r="I7" s="75"/>
    </row>
    <row r="8" spans="1:1024" ht="15.75" customHeight="1" x14ac:dyDescent="0.25">
      <c r="A8" s="45"/>
      <c r="B8" s="45"/>
      <c r="C8" s="252" t="s">
        <v>325</v>
      </c>
      <c r="D8" s="252"/>
      <c r="E8" s="252"/>
      <c r="F8" s="46">
        <f>SUM(F3:F7)</f>
        <v>436.79999999999995</v>
      </c>
      <c r="H8" s="75"/>
      <c r="I8" s="76"/>
    </row>
    <row r="9" spans="1:1024" ht="15" customHeight="1" x14ac:dyDescent="0.25">
      <c r="C9" s="253" t="s">
        <v>326</v>
      </c>
      <c r="D9" s="254"/>
      <c r="E9" s="255"/>
      <c r="F9" s="47">
        <f>F8/12</f>
        <v>36.4</v>
      </c>
      <c r="H9" s="76"/>
      <c r="I9" s="76"/>
    </row>
    <row r="11" spans="1:1024" s="39" customFormat="1" ht="35.1" customHeight="1" x14ac:dyDescent="0.25">
      <c r="A11" s="256" t="s">
        <v>346</v>
      </c>
      <c r="B11" s="257"/>
      <c r="C11" s="257"/>
      <c r="D11" s="257"/>
      <c r="E11" s="257"/>
      <c r="F11" s="258"/>
      <c r="G11" s="38"/>
      <c r="H11" s="38"/>
      <c r="I11" s="38"/>
      <c r="J11" s="38"/>
      <c r="K11" s="38"/>
      <c r="L11" s="38"/>
      <c r="M11" s="38"/>
      <c r="AMJ11" s="30"/>
    </row>
    <row r="12" spans="1:1024" ht="25.5" x14ac:dyDescent="0.25">
      <c r="A12" s="40" t="s">
        <v>152</v>
      </c>
      <c r="B12" s="40" t="s">
        <v>153</v>
      </c>
      <c r="C12" s="40" t="s">
        <v>154</v>
      </c>
      <c r="D12" s="40" t="s">
        <v>324</v>
      </c>
      <c r="E12" s="40" t="s">
        <v>156</v>
      </c>
      <c r="F12" s="40" t="s">
        <v>157</v>
      </c>
    </row>
    <row r="13" spans="1:1024" x14ac:dyDescent="0.25">
      <c r="A13" s="41">
        <v>1</v>
      </c>
      <c r="B13" s="138" t="s">
        <v>339</v>
      </c>
      <c r="C13" s="41" t="s">
        <v>323</v>
      </c>
      <c r="D13" s="41">
        <v>1</v>
      </c>
      <c r="E13" s="43">
        <v>9.1</v>
      </c>
      <c r="F13" s="43">
        <f t="shared" ref="F13:F17" si="1">(ROUND(E13,2)*D13)</f>
        <v>9.1</v>
      </c>
    </row>
    <row r="14" spans="1:1024" x14ac:dyDescent="0.25">
      <c r="A14" s="41">
        <v>2</v>
      </c>
      <c r="B14" s="138" t="s">
        <v>340</v>
      </c>
      <c r="C14" s="41" t="s">
        <v>208</v>
      </c>
      <c r="D14" s="41">
        <v>1</v>
      </c>
      <c r="E14" s="43">
        <v>24</v>
      </c>
      <c r="F14" s="43">
        <f t="shared" si="1"/>
        <v>24</v>
      </c>
    </row>
    <row r="15" spans="1:1024" ht="25.5" x14ac:dyDescent="0.25">
      <c r="A15" s="41">
        <v>3</v>
      </c>
      <c r="B15" s="138" t="s">
        <v>341</v>
      </c>
      <c r="C15" s="41" t="s">
        <v>208</v>
      </c>
      <c r="D15" s="41">
        <v>1</v>
      </c>
      <c r="E15" s="139">
        <v>1.5</v>
      </c>
      <c r="F15" s="43">
        <f t="shared" si="1"/>
        <v>1.5</v>
      </c>
    </row>
    <row r="16" spans="1:1024" ht="25.5" x14ac:dyDescent="0.25">
      <c r="A16" s="41">
        <v>4</v>
      </c>
      <c r="B16" s="138" t="s">
        <v>342</v>
      </c>
      <c r="C16" s="41" t="s">
        <v>208</v>
      </c>
      <c r="D16" s="41">
        <v>1</v>
      </c>
      <c r="E16" s="43">
        <v>126</v>
      </c>
      <c r="F16" s="43">
        <f>(ROUND(E16,2)*D16)</f>
        <v>126</v>
      </c>
    </row>
    <row r="17" spans="1:6" ht="25.5" x14ac:dyDescent="0.25">
      <c r="A17" s="41">
        <v>5</v>
      </c>
      <c r="B17" s="138" t="s">
        <v>343</v>
      </c>
      <c r="C17" s="41" t="s">
        <v>208</v>
      </c>
      <c r="D17" s="41">
        <v>1</v>
      </c>
      <c r="E17" s="43">
        <v>5</v>
      </c>
      <c r="F17" s="43">
        <f t="shared" si="1"/>
        <v>5</v>
      </c>
    </row>
    <row r="18" spans="1:6" x14ac:dyDescent="0.25">
      <c r="A18" s="41">
        <v>6</v>
      </c>
      <c r="B18" s="138" t="s">
        <v>338</v>
      </c>
      <c r="C18" s="41" t="s">
        <v>208</v>
      </c>
      <c r="D18" s="41">
        <v>1</v>
      </c>
      <c r="E18" s="43">
        <v>19</v>
      </c>
      <c r="F18" s="43">
        <f t="shared" ref="F18" si="2">(ROUND(E18,2)*D18)</f>
        <v>19</v>
      </c>
    </row>
    <row r="19" spans="1:6" x14ac:dyDescent="0.25">
      <c r="A19" s="41">
        <v>7</v>
      </c>
      <c r="B19" s="138" t="s">
        <v>344</v>
      </c>
      <c r="C19" s="41" t="s">
        <v>323</v>
      </c>
      <c r="D19" s="41">
        <v>1</v>
      </c>
      <c r="E19" s="43">
        <v>42</v>
      </c>
      <c r="F19" s="43">
        <f t="shared" ref="F19" si="3">(ROUND(E19,2)*D19)</f>
        <v>42</v>
      </c>
    </row>
    <row r="20" spans="1:6" x14ac:dyDescent="0.25">
      <c r="A20" s="41">
        <v>8</v>
      </c>
      <c r="B20" s="138" t="s">
        <v>345</v>
      </c>
      <c r="C20" s="41" t="s">
        <v>323</v>
      </c>
      <c r="D20" s="41">
        <v>2</v>
      </c>
      <c r="E20" s="43">
        <v>42</v>
      </c>
      <c r="F20" s="43">
        <f t="shared" ref="F20" si="4">(ROUND(E20,2)*D20)</f>
        <v>84</v>
      </c>
    </row>
    <row r="21" spans="1:6" ht="15.75" x14ac:dyDescent="0.25">
      <c r="A21" s="45"/>
      <c r="B21" s="45"/>
      <c r="C21" s="252" t="s">
        <v>325</v>
      </c>
      <c r="D21" s="252"/>
      <c r="E21" s="252"/>
      <c r="F21" s="46">
        <f>SUM(F13:F20)</f>
        <v>310.60000000000002</v>
      </c>
    </row>
    <row r="22" spans="1:6" ht="15.75" x14ac:dyDescent="0.25">
      <c r="C22" s="253" t="s">
        <v>326</v>
      </c>
      <c r="D22" s="254"/>
      <c r="E22" s="255"/>
      <c r="F22" s="47">
        <f>F21/12</f>
        <v>25.883333333333336</v>
      </c>
    </row>
  </sheetData>
  <mergeCells count="6">
    <mergeCell ref="C21:E21"/>
    <mergeCell ref="C22:E22"/>
    <mergeCell ref="A11:F11"/>
    <mergeCell ref="A1:F1"/>
    <mergeCell ref="C8:E8"/>
    <mergeCell ref="C9:E9"/>
  </mergeCells>
  <pageMargins left="0.78749999999999998" right="0.78749999999999998" top="0.78749999999999998" bottom="0.78749999999999998" header="0.51180555555555496" footer="0.51180555555555496"/>
  <pageSetup paperSize="9" scale="67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6"/>
  <sheetViews>
    <sheetView tabSelected="1" view="pageBreakPreview" topLeftCell="A55" zoomScaleNormal="100" workbookViewId="0">
      <selection activeCell="A9" sqref="A9:G9"/>
    </sheetView>
  </sheetViews>
  <sheetFormatPr defaultColWidth="9.140625" defaultRowHeight="15" x14ac:dyDescent="0.25"/>
  <cols>
    <col min="1" max="1" width="13.140625" style="48" customWidth="1"/>
    <col min="2" max="2" width="44.140625" style="49" customWidth="1"/>
    <col min="3" max="3" width="13.140625" style="49" customWidth="1"/>
    <col min="4" max="5" width="13.140625" style="48" customWidth="1"/>
    <col min="6" max="6" width="14.85546875" style="48" customWidth="1"/>
    <col min="7" max="7" width="14.5703125" style="48" customWidth="1"/>
    <col min="8" max="8" width="13.28515625" style="48" bestFit="1" customWidth="1"/>
    <col min="9" max="9" width="11.85546875" style="48" customWidth="1"/>
    <col min="10" max="10" width="10.140625" style="48" customWidth="1"/>
    <col min="11" max="11" width="11.28515625" style="48" customWidth="1"/>
    <col min="12" max="12" width="9.140625" style="48" customWidth="1"/>
    <col min="13" max="13" width="10.42578125" style="48" customWidth="1"/>
    <col min="14" max="16" width="8.7109375" style="48" customWidth="1"/>
    <col min="17" max="1024" width="9.140625" style="48"/>
  </cols>
  <sheetData>
    <row r="1" spans="1:16" x14ac:dyDescent="0.25">
      <c r="A1" s="219"/>
      <c r="B1" s="219"/>
      <c r="C1" s="219"/>
      <c r="D1" s="219"/>
      <c r="E1" s="219"/>
      <c r="F1" s="219"/>
      <c r="G1" s="219"/>
      <c r="H1" s="20"/>
      <c r="I1" s="20"/>
      <c r="J1" s="20"/>
      <c r="K1" s="20"/>
      <c r="L1" s="20"/>
      <c r="M1" s="20"/>
      <c r="N1" s="20"/>
    </row>
    <row r="2" spans="1:16" x14ac:dyDescent="0.25">
      <c r="A2" s="219"/>
      <c r="B2" s="219"/>
      <c r="C2" s="219"/>
      <c r="D2" s="219"/>
      <c r="E2" s="219"/>
      <c r="F2" s="219"/>
      <c r="G2" s="219"/>
      <c r="H2" s="20"/>
      <c r="I2" s="20"/>
      <c r="J2" s="20"/>
      <c r="K2" s="20"/>
      <c r="L2" s="20"/>
      <c r="M2" s="20"/>
      <c r="N2" s="20"/>
    </row>
    <row r="3" spans="1:16" x14ac:dyDescent="0.25">
      <c r="A3" s="219"/>
      <c r="B3" s="219"/>
      <c r="C3" s="219"/>
      <c r="D3" s="219"/>
      <c r="E3" s="219"/>
      <c r="F3" s="219"/>
      <c r="G3" s="219"/>
      <c r="H3" s="20"/>
      <c r="I3" s="20"/>
      <c r="J3" s="20"/>
      <c r="K3" s="20"/>
      <c r="L3" s="20"/>
      <c r="M3" s="20"/>
      <c r="N3" s="20"/>
    </row>
    <row r="4" spans="1:16" x14ac:dyDescent="0.25">
      <c r="A4" s="219"/>
      <c r="B4" s="219"/>
      <c r="C4" s="219"/>
      <c r="D4" s="219"/>
      <c r="E4" s="219"/>
      <c r="F4" s="219"/>
      <c r="G4" s="219"/>
      <c r="H4" s="20"/>
      <c r="I4" s="20"/>
      <c r="J4" s="20"/>
      <c r="K4" s="20"/>
      <c r="L4" s="20"/>
      <c r="M4" s="20"/>
      <c r="N4" s="20"/>
    </row>
    <row r="5" spans="1:16" x14ac:dyDescent="0.25">
      <c r="A5" s="219"/>
      <c r="B5" s="219"/>
      <c r="C5" s="219"/>
      <c r="D5" s="219"/>
      <c r="E5" s="219"/>
      <c r="F5" s="219"/>
      <c r="G5" s="219"/>
      <c r="H5" s="20"/>
      <c r="I5" s="20"/>
      <c r="J5" s="20"/>
      <c r="K5" s="20"/>
      <c r="L5" s="20"/>
      <c r="M5" s="20"/>
      <c r="N5" s="20"/>
    </row>
    <row r="6" spans="1:16" x14ac:dyDescent="0.25">
      <c r="A6" s="218"/>
      <c r="B6" s="218"/>
      <c r="C6" s="218"/>
      <c r="D6" s="218"/>
      <c r="E6" s="218"/>
      <c r="F6" s="218"/>
      <c r="G6" s="218"/>
      <c r="H6" s="20"/>
      <c r="I6" s="20"/>
      <c r="J6" s="20"/>
      <c r="K6" s="20"/>
      <c r="L6" s="20"/>
      <c r="M6" s="20"/>
      <c r="N6" s="20"/>
    </row>
    <row r="7" spans="1:16" x14ac:dyDescent="0.25">
      <c r="A7" s="218"/>
      <c r="B7" s="218"/>
      <c r="C7" s="218"/>
      <c r="D7" s="218"/>
      <c r="E7" s="218"/>
      <c r="F7" s="218"/>
      <c r="G7" s="218"/>
      <c r="H7" s="20"/>
      <c r="I7" s="20"/>
      <c r="J7" s="20"/>
      <c r="K7" s="20"/>
      <c r="L7" s="20"/>
      <c r="M7" s="20"/>
      <c r="N7" s="20"/>
    </row>
    <row r="8" spans="1:16" x14ac:dyDescent="0.25">
      <c r="A8" s="218"/>
      <c r="B8" s="218"/>
      <c r="C8" s="218"/>
      <c r="D8" s="218"/>
      <c r="E8" s="218"/>
      <c r="F8" s="218"/>
      <c r="G8" s="218"/>
      <c r="H8" s="20"/>
      <c r="I8" s="20"/>
      <c r="J8" s="20"/>
      <c r="K8" s="20"/>
      <c r="L8" s="20"/>
      <c r="M8" s="20"/>
      <c r="N8" s="20"/>
    </row>
    <row r="9" spans="1:16" x14ac:dyDescent="0.25">
      <c r="A9" s="216" t="s">
        <v>212</v>
      </c>
      <c r="B9" s="216"/>
      <c r="C9" s="216"/>
      <c r="D9" s="216"/>
      <c r="E9" s="216"/>
      <c r="F9" s="216">
        <f ca="1">TODAY()</f>
        <v>44782</v>
      </c>
      <c r="G9" s="216"/>
      <c r="H9" s="20"/>
      <c r="I9" s="20"/>
      <c r="J9" s="20"/>
      <c r="K9" s="20"/>
      <c r="L9" s="20"/>
      <c r="M9" s="20"/>
      <c r="N9" s="20"/>
    </row>
    <row r="10" spans="1:16" x14ac:dyDescent="0.25">
      <c r="H10" s="20"/>
      <c r="I10" s="20"/>
      <c r="J10" s="20"/>
      <c r="K10" s="20"/>
      <c r="L10" s="20"/>
      <c r="M10" s="20"/>
      <c r="N10" s="20"/>
    </row>
    <row r="11" spans="1:16" x14ac:dyDescent="0.25">
      <c r="A11" s="213" t="s">
        <v>213</v>
      </c>
      <c r="B11" s="213"/>
      <c r="C11" s="213"/>
      <c r="D11" s="213"/>
      <c r="E11" s="213"/>
      <c r="F11" s="213"/>
      <c r="G11" s="213"/>
      <c r="H11" s="20"/>
      <c r="I11" s="20"/>
      <c r="J11" s="20"/>
      <c r="K11" s="20"/>
      <c r="L11" s="20"/>
      <c r="M11" s="20"/>
      <c r="N11" s="20"/>
    </row>
    <row r="12" spans="1:16" x14ac:dyDescent="0.25">
      <c r="A12" s="50"/>
      <c r="B12" s="51"/>
      <c r="C12" s="51"/>
      <c r="D12" s="51"/>
      <c r="E12" s="51"/>
      <c r="F12" s="51"/>
      <c r="G12" s="52"/>
      <c r="H12" s="20"/>
      <c r="I12" s="20"/>
      <c r="J12" s="20"/>
      <c r="K12" s="20"/>
      <c r="L12" s="20"/>
      <c r="M12" s="20"/>
      <c r="N12" s="20"/>
    </row>
    <row r="13" spans="1:16" ht="28.5" x14ac:dyDescent="0.25">
      <c r="A13" s="64" t="s">
        <v>214</v>
      </c>
      <c r="B13" s="217" t="s">
        <v>215</v>
      </c>
      <c r="C13" s="217"/>
      <c r="D13" s="64" t="s">
        <v>216</v>
      </c>
      <c r="E13" s="64" t="s">
        <v>217</v>
      </c>
      <c r="F13" s="64" t="s">
        <v>218</v>
      </c>
      <c r="G13" s="64" t="s">
        <v>219</v>
      </c>
      <c r="H13" s="20"/>
      <c r="I13"/>
      <c r="J13"/>
      <c r="K13"/>
      <c r="L13"/>
      <c r="M13"/>
      <c r="N13"/>
      <c r="O13"/>
      <c r="P13"/>
    </row>
    <row r="14" spans="1:16" x14ac:dyDescent="0.25">
      <c r="A14" s="65">
        <v>1</v>
      </c>
      <c r="B14" s="214" t="str">
        <f>serv!A13</f>
        <v>Servente de Limpeza</v>
      </c>
      <c r="C14" s="214"/>
      <c r="D14" s="66">
        <f>serv!D157</f>
        <v>2943.57</v>
      </c>
      <c r="E14" s="67">
        <v>52</v>
      </c>
      <c r="F14" s="55">
        <f>TRUNC(D14*E14,2)</f>
        <v>153065.64000000001</v>
      </c>
      <c r="G14" s="68">
        <f>F14*12</f>
        <v>1836787.6800000002</v>
      </c>
      <c r="H14" s="20"/>
      <c r="I14"/>
      <c r="J14"/>
      <c r="K14"/>
      <c r="L14"/>
      <c r="M14"/>
      <c r="N14"/>
      <c r="O14"/>
      <c r="P14"/>
    </row>
    <row r="15" spans="1:16" x14ac:dyDescent="0.25">
      <c r="A15" s="65">
        <v>2</v>
      </c>
      <c r="B15" s="214" t="str">
        <f>jard!A13</f>
        <v>Jardineiro</v>
      </c>
      <c r="C15" s="214"/>
      <c r="D15" s="69">
        <f>jard!D157</f>
        <v>3088.04</v>
      </c>
      <c r="E15" s="67">
        <v>1</v>
      </c>
      <c r="F15" s="55">
        <f>TRUNC(D15*E15,2)</f>
        <v>3088.04</v>
      </c>
      <c r="G15" s="68">
        <f>F15*12</f>
        <v>37056.479999999996</v>
      </c>
      <c r="H15" s="20"/>
      <c r="I15"/>
      <c r="J15"/>
      <c r="K15"/>
      <c r="L15"/>
      <c r="M15"/>
      <c r="N15"/>
      <c r="O15"/>
      <c r="P15"/>
    </row>
    <row r="16" spans="1:16" x14ac:dyDescent="0.25">
      <c r="A16" s="65">
        <v>3</v>
      </c>
      <c r="B16" s="214" t="str">
        <f>auxjard!A13</f>
        <v>Auxiliar de Jardinagem</v>
      </c>
      <c r="C16" s="214"/>
      <c r="D16" s="69">
        <f>auxjard!D157</f>
        <v>2943.57</v>
      </c>
      <c r="E16" s="67">
        <v>4</v>
      </c>
      <c r="F16" s="55">
        <f>TRUNC(D16*E16,2)</f>
        <v>11774.28</v>
      </c>
      <c r="G16" s="68">
        <f>F16*12</f>
        <v>141291.36000000002</v>
      </c>
      <c r="H16" s="20"/>
      <c r="I16"/>
      <c r="J16"/>
      <c r="K16"/>
      <c r="L16"/>
      <c r="M16"/>
      <c r="N16"/>
      <c r="O16"/>
      <c r="P16"/>
    </row>
    <row r="17" spans="1:16" x14ac:dyDescent="0.25">
      <c r="A17" s="65">
        <v>4</v>
      </c>
      <c r="B17" s="214" t="str">
        <f>superv!A13</f>
        <v>Supervisor</v>
      </c>
      <c r="C17" s="214"/>
      <c r="D17" s="69">
        <f>superv!D157</f>
        <v>3745.25</v>
      </c>
      <c r="E17" s="67">
        <v>2</v>
      </c>
      <c r="F17" s="55">
        <f>TRUNC(D17*E17,2)</f>
        <v>7490.5</v>
      </c>
      <c r="G17" s="68">
        <f>F17*12</f>
        <v>89886</v>
      </c>
      <c r="H17" s="20"/>
      <c r="I17"/>
      <c r="J17"/>
      <c r="K17"/>
      <c r="L17"/>
      <c r="M17"/>
      <c r="N17"/>
      <c r="O17"/>
      <c r="P17"/>
    </row>
    <row r="18" spans="1:16" x14ac:dyDescent="0.25">
      <c r="A18" s="65">
        <v>5</v>
      </c>
      <c r="B18" s="214" t="str">
        <f>cabturm!A13</f>
        <v>Cabo de Turma</v>
      </c>
      <c r="C18" s="214"/>
      <c r="D18" s="69">
        <f>cabturm!D157</f>
        <v>3070.05</v>
      </c>
      <c r="E18" s="67">
        <v>1</v>
      </c>
      <c r="F18" s="55">
        <f>TRUNC(D18*E18,2)</f>
        <v>3070.05</v>
      </c>
      <c r="G18" s="68">
        <f>F18*12</f>
        <v>36840.600000000006</v>
      </c>
      <c r="H18" s="20"/>
      <c r="I18"/>
      <c r="J18"/>
      <c r="K18"/>
      <c r="L18"/>
      <c r="M18"/>
      <c r="N18"/>
      <c r="O18"/>
      <c r="P18"/>
    </row>
    <row r="19" spans="1:16" x14ac:dyDescent="0.25">
      <c r="A19" s="215" t="s">
        <v>220</v>
      </c>
      <c r="B19" s="215"/>
      <c r="C19" s="215"/>
      <c r="D19" s="215"/>
      <c r="E19" s="70">
        <f>SUM(E14:E18)</f>
        <v>60</v>
      </c>
      <c r="F19" s="56">
        <f>SUM(F14:F18)</f>
        <v>178488.51</v>
      </c>
      <c r="G19" s="56">
        <f>SUM(G14:G18)</f>
        <v>2141862.1200000006</v>
      </c>
      <c r="H19" s="20"/>
      <c r="I19"/>
      <c r="J19"/>
      <c r="K19"/>
      <c r="L19"/>
      <c r="M19"/>
      <c r="N19"/>
      <c r="O19"/>
      <c r="P19"/>
    </row>
    <row r="20" spans="1:16" x14ac:dyDescent="0.25">
      <c r="H20" s="20"/>
      <c r="I20"/>
      <c r="J20"/>
      <c r="K20"/>
      <c r="L20"/>
      <c r="M20"/>
      <c r="N20"/>
      <c r="O20"/>
      <c r="P20"/>
    </row>
    <row r="21" spans="1:16" x14ac:dyDescent="0.25">
      <c r="A21" s="213" t="s">
        <v>221</v>
      </c>
      <c r="B21" s="213"/>
      <c r="C21" s="213"/>
      <c r="D21" s="213"/>
      <c r="E21" s="213"/>
      <c r="F21" s="213"/>
      <c r="G21" s="213"/>
      <c r="H21" s="20"/>
      <c r="I21"/>
      <c r="J21"/>
      <c r="K21"/>
      <c r="L21"/>
      <c r="M21"/>
      <c r="N21"/>
      <c r="O21"/>
      <c r="P21"/>
    </row>
    <row r="22" spans="1:16" x14ac:dyDescent="0.25">
      <c r="H22" s="20"/>
      <c r="I22"/>
      <c r="J22"/>
      <c r="K22"/>
      <c r="L22"/>
      <c r="M22"/>
      <c r="N22"/>
      <c r="O22"/>
      <c r="P22"/>
    </row>
    <row r="23" spans="1:16" ht="28.5" x14ac:dyDescent="0.25">
      <c r="A23" s="64" t="s">
        <v>214</v>
      </c>
      <c r="B23" s="217" t="s">
        <v>215</v>
      </c>
      <c r="C23" s="217"/>
      <c r="D23" s="64" t="s">
        <v>216</v>
      </c>
      <c r="E23" s="64" t="s">
        <v>217</v>
      </c>
      <c r="F23" s="64" t="s">
        <v>218</v>
      </c>
      <c r="G23" s="64" t="s">
        <v>222</v>
      </c>
      <c r="H23" s="20"/>
      <c r="I23"/>
      <c r="J23"/>
      <c r="K23"/>
      <c r="L23"/>
      <c r="M23"/>
      <c r="N23"/>
      <c r="O23"/>
      <c r="P23"/>
    </row>
    <row r="24" spans="1:16" ht="30" customHeight="1" x14ac:dyDescent="0.25">
      <c r="A24" s="65">
        <v>6</v>
      </c>
      <c r="B24" s="214" t="str">
        <f>servextra!A13</f>
        <v>Servente de Limpeza -  acréscimo nos meses de julho, agosto, setembro e outubro em ano eleitoral</v>
      </c>
      <c r="C24" s="214"/>
      <c r="D24" s="66">
        <f>servextra!D157</f>
        <v>2895.34</v>
      </c>
      <c r="E24" s="67">
        <v>10</v>
      </c>
      <c r="F24" s="55">
        <f>TRUNC(D24*E24,2)</f>
        <v>28953.4</v>
      </c>
      <c r="G24" s="68">
        <f>F24*4</f>
        <v>115813.6</v>
      </c>
      <c r="H24" s="20"/>
      <c r="I24"/>
      <c r="J24"/>
      <c r="K24"/>
      <c r="L24"/>
      <c r="M24"/>
      <c r="N24"/>
      <c r="O24"/>
      <c r="P24"/>
    </row>
    <row r="25" spans="1:16" x14ac:dyDescent="0.25">
      <c r="A25" s="215" t="s">
        <v>223</v>
      </c>
      <c r="B25" s="215"/>
      <c r="C25" s="215"/>
      <c r="D25" s="215"/>
      <c r="E25" s="70">
        <f>SUM(E24)</f>
        <v>10</v>
      </c>
      <c r="F25" s="56">
        <f>SUM(F24)</f>
        <v>28953.4</v>
      </c>
      <c r="G25" s="56">
        <f>SUM(G24)</f>
        <v>115813.6</v>
      </c>
      <c r="H25" s="20"/>
      <c r="I25"/>
      <c r="J25"/>
      <c r="K25"/>
      <c r="L25"/>
      <c r="M25"/>
      <c r="N25"/>
      <c r="O25"/>
      <c r="P25"/>
    </row>
    <row r="26" spans="1:16" x14ac:dyDescent="0.25">
      <c r="H26" s="20"/>
      <c r="I26"/>
      <c r="J26"/>
      <c r="K26"/>
      <c r="L26"/>
      <c r="M26"/>
      <c r="N26"/>
      <c r="O26"/>
      <c r="P26"/>
    </row>
    <row r="27" spans="1:16" x14ac:dyDescent="0.25">
      <c r="A27" s="213" t="s">
        <v>224</v>
      </c>
      <c r="B27" s="213"/>
      <c r="C27" s="213"/>
      <c r="D27" s="213"/>
      <c r="E27" s="213"/>
      <c r="F27" s="213"/>
      <c r="G27" s="213"/>
      <c r="H27" s="20"/>
      <c r="I27"/>
      <c r="J27"/>
      <c r="K27"/>
      <c r="L27"/>
      <c r="M27"/>
      <c r="N27"/>
      <c r="O27"/>
      <c r="P27"/>
    </row>
    <row r="28" spans="1:16" x14ac:dyDescent="0.25">
      <c r="H28" s="20"/>
      <c r="I28"/>
      <c r="J28"/>
      <c r="K28"/>
      <c r="L28"/>
      <c r="M28"/>
      <c r="N28"/>
      <c r="O28"/>
      <c r="P28"/>
    </row>
    <row r="29" spans="1:16" ht="32.25" customHeight="1" x14ac:dyDescent="0.25">
      <c r="A29" s="61" t="s">
        <v>214</v>
      </c>
      <c r="B29" s="217" t="s">
        <v>215</v>
      </c>
      <c r="C29" s="217"/>
      <c r="D29" s="217"/>
      <c r="E29" s="64" t="s">
        <v>225</v>
      </c>
      <c r="F29" s="61" t="s">
        <v>226</v>
      </c>
      <c r="G29" s="61" t="s">
        <v>227</v>
      </c>
      <c r="H29" s="20"/>
      <c r="I29"/>
      <c r="J29"/>
      <c r="K29"/>
      <c r="L29"/>
      <c r="M29"/>
      <c r="N29"/>
      <c r="O29"/>
      <c r="P29"/>
    </row>
    <row r="30" spans="1:16" ht="13.9" customHeight="1" x14ac:dyDescent="0.25">
      <c r="A30" s="65">
        <v>7</v>
      </c>
      <c r="B30" s="214" t="s">
        <v>14</v>
      </c>
      <c r="C30" s="214"/>
      <c r="D30" s="214"/>
      <c r="E30" s="71">
        <f>heserv_agoset!E30</f>
        <v>88509.78</v>
      </c>
      <c r="F30" s="71">
        <f>heserv_out!E30</f>
        <v>44254.879999999997</v>
      </c>
      <c r="G30" s="71">
        <f>SUM(E30:F30)</f>
        <v>132764.66</v>
      </c>
      <c r="H30" s="20"/>
      <c r="I30"/>
      <c r="J30"/>
      <c r="K30"/>
      <c r="L30"/>
      <c r="M30"/>
      <c r="N30"/>
      <c r="O30"/>
      <c r="P30"/>
    </row>
    <row r="31" spans="1:16" ht="13.9" customHeight="1" x14ac:dyDescent="0.25">
      <c r="A31" s="65">
        <v>8</v>
      </c>
      <c r="B31" s="214" t="s">
        <v>116</v>
      </c>
      <c r="C31" s="214"/>
      <c r="D31" s="214"/>
      <c r="E31" s="71">
        <f>hesuperv_agoset!E30</f>
        <v>4492.1899999999996</v>
      </c>
      <c r="F31" s="71">
        <f>hesuperv_out!E30</f>
        <v>2246.08</v>
      </c>
      <c r="G31" s="71">
        <f>SUM(E31:F31)</f>
        <v>6738.2699999999995</v>
      </c>
      <c r="H31" s="20"/>
      <c r="I31"/>
      <c r="J31"/>
      <c r="K31"/>
      <c r="L31"/>
      <c r="M31"/>
      <c r="N31"/>
      <c r="O31"/>
      <c r="P31"/>
    </row>
    <row r="32" spans="1:16" ht="13.9" customHeight="1" x14ac:dyDescent="0.25">
      <c r="A32" s="65">
        <v>9</v>
      </c>
      <c r="B32" s="214" t="s">
        <v>118</v>
      </c>
      <c r="C32" s="214"/>
      <c r="D32" s="214"/>
      <c r="E32" s="71">
        <f>hecabturm_agoset!E30</f>
        <v>1804.1599999999999</v>
      </c>
      <c r="F32" s="71">
        <f>hecabturm_out!E30</f>
        <v>902.06</v>
      </c>
      <c r="G32" s="71">
        <f>SUM(E32:F32)</f>
        <v>2706.22</v>
      </c>
      <c r="H32" s="20"/>
      <c r="I32"/>
      <c r="J32"/>
      <c r="K32"/>
      <c r="L32"/>
      <c r="M32"/>
      <c r="N32"/>
      <c r="O32"/>
      <c r="P32"/>
    </row>
    <row r="33" spans="1:16" x14ac:dyDescent="0.25">
      <c r="A33" s="215" t="s">
        <v>228</v>
      </c>
      <c r="B33" s="215"/>
      <c r="C33" s="215"/>
      <c r="D33" s="215"/>
      <c r="E33" s="215"/>
      <c r="F33" s="215"/>
      <c r="G33" s="54">
        <f>SUM(G30:G32)</f>
        <v>142209.15</v>
      </c>
      <c r="H33" s="20"/>
      <c r="I33"/>
      <c r="J33"/>
      <c r="K33"/>
      <c r="L33"/>
      <c r="M33"/>
      <c r="N33"/>
      <c r="O33"/>
      <c r="P33"/>
    </row>
    <row r="34" spans="1:16" x14ac:dyDescent="0.25">
      <c r="H34" s="20"/>
      <c r="I34"/>
      <c r="J34"/>
      <c r="K34"/>
      <c r="L34"/>
      <c r="M34"/>
      <c r="N34"/>
      <c r="O34"/>
      <c r="P34"/>
    </row>
    <row r="35" spans="1:16" x14ac:dyDescent="0.25">
      <c r="A35" s="213" t="s">
        <v>229</v>
      </c>
      <c r="B35" s="213"/>
      <c r="C35" s="213"/>
      <c r="D35" s="213"/>
      <c r="E35" s="213"/>
      <c r="F35" s="213"/>
      <c r="G35" s="213"/>
      <c r="H35" s="20"/>
      <c r="I35"/>
      <c r="J35"/>
      <c r="K35"/>
      <c r="L35"/>
      <c r="M35"/>
      <c r="N35"/>
      <c r="O35"/>
      <c r="P35"/>
    </row>
    <row r="36" spans="1:16" x14ac:dyDescent="0.25">
      <c r="H36" s="20"/>
      <c r="I36"/>
      <c r="J36"/>
      <c r="K36"/>
      <c r="L36"/>
      <c r="M36"/>
      <c r="N36"/>
      <c r="O36"/>
      <c r="P36"/>
    </row>
    <row r="37" spans="1:16" ht="13.9" customHeight="1" x14ac:dyDescent="0.25">
      <c r="A37" s="61" t="s">
        <v>214</v>
      </c>
      <c r="B37" s="217" t="s">
        <v>215</v>
      </c>
      <c r="C37" s="217"/>
      <c r="D37" s="217"/>
      <c r="E37" s="217"/>
      <c r="F37" s="61" t="s">
        <v>218</v>
      </c>
      <c r="G37" s="61" t="s">
        <v>227</v>
      </c>
      <c r="H37" s="20"/>
      <c r="I37"/>
      <c r="J37"/>
      <c r="K37"/>
      <c r="L37"/>
      <c r="M37"/>
      <c r="N37"/>
      <c r="O37"/>
      <c r="P37"/>
    </row>
    <row r="38" spans="1:16" ht="13.9" customHeight="1" x14ac:dyDescent="0.25">
      <c r="A38" s="65">
        <v>10</v>
      </c>
      <c r="B38" s="214" t="s">
        <v>14</v>
      </c>
      <c r="C38" s="214"/>
      <c r="D38" s="214"/>
      <c r="E38" s="214"/>
      <c r="F38" s="55">
        <f>matservente1!F51</f>
        <v>15501.97</v>
      </c>
      <c r="G38" s="55">
        <f>F38*12</f>
        <v>186023.63999999998</v>
      </c>
      <c r="H38" s="20"/>
      <c r="I38"/>
      <c r="J38"/>
      <c r="K38"/>
      <c r="L38"/>
      <c r="M38"/>
      <c r="N38"/>
      <c r="O38"/>
      <c r="P38"/>
    </row>
    <row r="39" spans="1:16" ht="13.9" customHeight="1" x14ac:dyDescent="0.25">
      <c r="A39" s="65">
        <v>11</v>
      </c>
      <c r="B39" s="214" t="s">
        <v>230</v>
      </c>
      <c r="C39" s="214"/>
      <c r="D39" s="214"/>
      <c r="E39" s="214"/>
      <c r="F39" s="55">
        <f>matjard1!F14</f>
        <v>4165.49</v>
      </c>
      <c r="G39" s="55">
        <f>F39*12</f>
        <v>49985.88</v>
      </c>
      <c r="H39" s="20"/>
      <c r="I39"/>
      <c r="J39"/>
      <c r="K39"/>
      <c r="L39"/>
      <c r="M39"/>
      <c r="N39"/>
      <c r="O39"/>
      <c r="P39"/>
    </row>
    <row r="40" spans="1:16" x14ac:dyDescent="0.25">
      <c r="A40" s="215" t="s">
        <v>231</v>
      </c>
      <c r="B40" s="215"/>
      <c r="C40" s="215"/>
      <c r="D40" s="215"/>
      <c r="E40" s="215"/>
      <c r="F40" s="215"/>
      <c r="G40" s="54">
        <f>SUM(G38:G39)</f>
        <v>236009.52</v>
      </c>
      <c r="H40" s="20"/>
      <c r="I40"/>
      <c r="J40"/>
      <c r="K40"/>
      <c r="L40"/>
      <c r="M40"/>
      <c r="N40"/>
      <c r="O40"/>
      <c r="P40"/>
    </row>
    <row r="41" spans="1:16" x14ac:dyDescent="0.25">
      <c r="H41" s="20"/>
      <c r="I41"/>
      <c r="J41"/>
      <c r="K41"/>
      <c r="L41"/>
      <c r="M41"/>
      <c r="N41"/>
      <c r="O41"/>
      <c r="P41"/>
    </row>
    <row r="42" spans="1:16" x14ac:dyDescent="0.25">
      <c r="A42" s="213" t="s">
        <v>232</v>
      </c>
      <c r="B42" s="213"/>
      <c r="C42" s="213"/>
      <c r="D42" s="213"/>
      <c r="E42" s="213"/>
      <c r="F42" s="213"/>
      <c r="G42" s="213"/>
      <c r="H42" s="20"/>
      <c r="I42"/>
      <c r="J42"/>
      <c r="K42"/>
      <c r="L42"/>
      <c r="M42"/>
      <c r="N42"/>
      <c r="O42"/>
      <c r="P42"/>
    </row>
    <row r="43" spans="1:16" x14ac:dyDescent="0.25">
      <c r="H43" s="20"/>
      <c r="I43"/>
      <c r="J43"/>
      <c r="K43"/>
      <c r="L43"/>
      <c r="M43"/>
      <c r="N43"/>
      <c r="O43"/>
      <c r="P43"/>
    </row>
    <row r="44" spans="1:16" ht="71.25" x14ac:dyDescent="0.25">
      <c r="A44" s="64" t="s">
        <v>214</v>
      </c>
      <c r="B44" s="64" t="s">
        <v>215</v>
      </c>
      <c r="C44" s="64" t="s">
        <v>233</v>
      </c>
      <c r="D44" s="64" t="s">
        <v>234</v>
      </c>
      <c r="E44" s="64" t="s">
        <v>235</v>
      </c>
      <c r="F44" s="64" t="s">
        <v>222</v>
      </c>
      <c r="G44" s="64" t="s">
        <v>219</v>
      </c>
      <c r="H44" s="20"/>
      <c r="I44"/>
      <c r="J44"/>
      <c r="K44"/>
      <c r="L44"/>
      <c r="M44"/>
      <c r="N44"/>
      <c r="O44"/>
      <c r="P44"/>
    </row>
    <row r="45" spans="1:16" x14ac:dyDescent="0.25">
      <c r="A45" s="65">
        <v>12</v>
      </c>
      <c r="B45" s="62" t="s">
        <v>14</v>
      </c>
      <c r="C45" s="66">
        <f>matservente1!F51</f>
        <v>15501.97</v>
      </c>
      <c r="D45" s="66">
        <f>C45*8</f>
        <v>124015.76</v>
      </c>
      <c r="E45" s="69">
        <f>matservente2!F51</f>
        <v>20616.719999999998</v>
      </c>
      <c r="F45" s="69">
        <f>E45*4</f>
        <v>82466.87999999999</v>
      </c>
      <c r="G45" s="72">
        <f>D45+F45</f>
        <v>206482.63999999998</v>
      </c>
      <c r="H45" s="20"/>
      <c r="I45"/>
      <c r="J45"/>
      <c r="K45"/>
      <c r="L45"/>
      <c r="M45"/>
      <c r="N45"/>
      <c r="O45"/>
      <c r="P45"/>
    </row>
    <row r="46" spans="1:16" x14ac:dyDescent="0.25">
      <c r="A46" s="65">
        <v>13</v>
      </c>
      <c r="B46" s="62" t="s">
        <v>230</v>
      </c>
      <c r="C46" s="66">
        <f>matjard1!F14</f>
        <v>4165.49</v>
      </c>
      <c r="D46" s="66">
        <f>C46*8</f>
        <v>33323.919999999998</v>
      </c>
      <c r="E46" s="69">
        <f>matjard2!F14</f>
        <v>5871.91</v>
      </c>
      <c r="F46" s="69">
        <f>E46*4</f>
        <v>23487.64</v>
      </c>
      <c r="G46" s="72">
        <f>D46+F46</f>
        <v>56811.56</v>
      </c>
      <c r="H46" s="20"/>
      <c r="I46"/>
      <c r="J46"/>
      <c r="K46"/>
      <c r="L46"/>
      <c r="M46"/>
      <c r="N46"/>
      <c r="O46"/>
      <c r="P46"/>
    </row>
    <row r="47" spans="1:16" x14ac:dyDescent="0.25">
      <c r="A47" s="215" t="s">
        <v>236</v>
      </c>
      <c r="B47" s="215"/>
      <c r="C47" s="215"/>
      <c r="D47" s="215"/>
      <c r="E47" s="215"/>
      <c r="F47" s="215"/>
      <c r="G47" s="54">
        <f>SUM(G45:G46)</f>
        <v>263294.19999999995</v>
      </c>
      <c r="H47" s="20"/>
      <c r="I47"/>
      <c r="J47"/>
      <c r="K47"/>
      <c r="L47"/>
      <c r="M47"/>
      <c r="N47"/>
      <c r="O47"/>
      <c r="P47"/>
    </row>
    <row r="48" spans="1:16" x14ac:dyDescent="0.25">
      <c r="H48" s="20"/>
      <c r="I48"/>
      <c r="J48"/>
      <c r="K48"/>
      <c r="L48"/>
      <c r="M48"/>
      <c r="N48"/>
      <c r="O48"/>
      <c r="P48"/>
    </row>
    <row r="49" spans="1:16" x14ac:dyDescent="0.25">
      <c r="A49" s="216" t="s">
        <v>237</v>
      </c>
      <c r="B49" s="216"/>
      <c r="C49" s="216"/>
      <c r="D49" s="216"/>
      <c r="E49" s="216"/>
      <c r="F49" s="216"/>
      <c r="G49" s="216"/>
      <c r="H49" s="20"/>
      <c r="I49"/>
      <c r="J49"/>
      <c r="K49"/>
      <c r="L49"/>
      <c r="M49"/>
      <c r="N49"/>
      <c r="O49"/>
      <c r="P49"/>
    </row>
    <row r="50" spans="1:16" x14ac:dyDescent="0.25">
      <c r="H50" s="20"/>
      <c r="I50"/>
      <c r="J50"/>
      <c r="K50"/>
      <c r="L50"/>
      <c r="M50"/>
      <c r="N50"/>
      <c r="O50"/>
      <c r="P50"/>
    </row>
    <row r="51" spans="1:16" x14ac:dyDescent="0.25">
      <c r="A51" s="213" t="s">
        <v>238</v>
      </c>
      <c r="B51" s="213"/>
      <c r="C51" s="213"/>
      <c r="D51" s="213"/>
      <c r="E51" s="213"/>
      <c r="F51" s="213"/>
      <c r="G51" s="213"/>
      <c r="H51" s="20"/>
      <c r="I51"/>
      <c r="J51"/>
      <c r="K51"/>
      <c r="L51"/>
      <c r="M51"/>
      <c r="N51"/>
      <c r="O51"/>
      <c r="P51"/>
    </row>
    <row r="52" spans="1:16" x14ac:dyDescent="0.25">
      <c r="H52" s="20"/>
      <c r="I52"/>
      <c r="J52"/>
      <c r="K52"/>
      <c r="L52"/>
      <c r="M52"/>
      <c r="N52"/>
      <c r="O52"/>
      <c r="P52"/>
    </row>
    <row r="53" spans="1:16" ht="13.9" customHeight="1" x14ac:dyDescent="0.25">
      <c r="A53" s="53" t="s">
        <v>2</v>
      </c>
      <c r="B53" s="214" t="s">
        <v>239</v>
      </c>
      <c r="C53" s="214"/>
      <c r="D53" s="214"/>
      <c r="E53" s="214"/>
      <c r="F53" s="214"/>
      <c r="G53" s="55">
        <f>G19</f>
        <v>2141862.1200000006</v>
      </c>
      <c r="H53" s="20"/>
      <c r="I53"/>
      <c r="J53"/>
      <c r="K53"/>
      <c r="L53"/>
      <c r="M53"/>
      <c r="N53"/>
      <c r="O53"/>
      <c r="P53"/>
    </row>
    <row r="54" spans="1:16" ht="13.9" customHeight="1" x14ac:dyDescent="0.25">
      <c r="A54" s="53" t="s">
        <v>8</v>
      </c>
      <c r="B54" s="214" t="s">
        <v>94</v>
      </c>
      <c r="C54" s="214"/>
      <c r="D54" s="214"/>
      <c r="E54" s="214"/>
      <c r="F54" s="214"/>
      <c r="G54" s="55">
        <f>G40</f>
        <v>236009.52</v>
      </c>
      <c r="H54" s="20"/>
      <c r="I54"/>
      <c r="J54"/>
      <c r="K54"/>
      <c r="L54"/>
      <c r="M54"/>
      <c r="N54"/>
      <c r="O54"/>
      <c r="P54"/>
    </row>
    <row r="55" spans="1:16" x14ac:dyDescent="0.25">
      <c r="A55" s="215" t="s">
        <v>35</v>
      </c>
      <c r="B55" s="215"/>
      <c r="C55" s="215"/>
      <c r="D55" s="215"/>
      <c r="E55" s="215"/>
      <c r="F55" s="215"/>
      <c r="G55" s="56">
        <f>SUM(G53:G54)</f>
        <v>2377871.6400000006</v>
      </c>
      <c r="H55" s="20"/>
      <c r="I55"/>
      <c r="J55"/>
      <c r="K55"/>
      <c r="L55"/>
      <c r="M55"/>
      <c r="N55"/>
      <c r="O55"/>
      <c r="P55"/>
    </row>
    <row r="56" spans="1:16" x14ac:dyDescent="0.25">
      <c r="H56" s="20"/>
      <c r="I56"/>
      <c r="J56"/>
      <c r="K56"/>
      <c r="L56"/>
      <c r="M56"/>
      <c r="N56"/>
      <c r="O56"/>
      <c r="P56"/>
    </row>
    <row r="57" spans="1:16" x14ac:dyDescent="0.25">
      <c r="A57" s="213" t="s">
        <v>241</v>
      </c>
      <c r="B57" s="213"/>
      <c r="C57" s="213"/>
      <c r="D57" s="213"/>
      <c r="E57" s="213"/>
      <c r="F57" s="213"/>
      <c r="G57" s="213"/>
      <c r="H57" s="20"/>
      <c r="I57"/>
      <c r="J57"/>
      <c r="K57"/>
      <c r="L57"/>
      <c r="M57"/>
      <c r="N57"/>
      <c r="O57"/>
      <c r="P57"/>
    </row>
    <row r="58" spans="1:16" x14ac:dyDescent="0.25">
      <c r="H58" s="20"/>
      <c r="I58"/>
      <c r="J58"/>
      <c r="K58"/>
      <c r="L58"/>
      <c r="M58"/>
      <c r="N58"/>
      <c r="O58"/>
      <c r="P58"/>
    </row>
    <row r="59" spans="1:16" ht="13.9" customHeight="1" x14ac:dyDescent="0.25">
      <c r="A59" s="53" t="s">
        <v>2</v>
      </c>
      <c r="B59" s="214" t="s">
        <v>239</v>
      </c>
      <c r="C59" s="214"/>
      <c r="D59" s="214"/>
      <c r="E59" s="214"/>
      <c r="F59" s="214"/>
      <c r="G59" s="55">
        <f>G19</f>
        <v>2141862.1200000006</v>
      </c>
      <c r="H59" s="20"/>
      <c r="I59"/>
      <c r="J59"/>
      <c r="K59"/>
      <c r="L59"/>
      <c r="M59"/>
      <c r="N59"/>
      <c r="O59"/>
      <c r="P59"/>
    </row>
    <row r="60" spans="1:16" ht="13.9" customHeight="1" x14ac:dyDescent="0.25">
      <c r="A60" s="53" t="s">
        <v>4</v>
      </c>
      <c r="B60" s="214" t="s">
        <v>240</v>
      </c>
      <c r="C60" s="214"/>
      <c r="D60" s="214"/>
      <c r="E60" s="214"/>
      <c r="F60" s="214"/>
      <c r="G60" s="55">
        <f>G25</f>
        <v>115813.6</v>
      </c>
      <c r="H60" s="20"/>
      <c r="I60"/>
      <c r="J60"/>
      <c r="K60"/>
      <c r="L60"/>
      <c r="M60"/>
      <c r="N60"/>
      <c r="O60"/>
      <c r="P60"/>
    </row>
    <row r="61" spans="1:16" ht="13.9" customHeight="1" x14ac:dyDescent="0.25">
      <c r="A61" s="53" t="s">
        <v>6</v>
      </c>
      <c r="B61" s="214" t="s">
        <v>242</v>
      </c>
      <c r="C61" s="214"/>
      <c r="D61" s="214"/>
      <c r="E61" s="214"/>
      <c r="F61" s="214"/>
      <c r="G61" s="55">
        <f>G33</f>
        <v>142209.15</v>
      </c>
      <c r="H61" s="20"/>
      <c r="I61"/>
      <c r="J61"/>
      <c r="K61"/>
      <c r="L61"/>
      <c r="M61"/>
      <c r="N61"/>
      <c r="O61"/>
      <c r="P61"/>
    </row>
    <row r="62" spans="1:16" ht="13.9" customHeight="1" x14ac:dyDescent="0.25">
      <c r="A62" s="53" t="s">
        <v>31</v>
      </c>
      <c r="B62" s="214" t="s">
        <v>94</v>
      </c>
      <c r="C62" s="214"/>
      <c r="D62" s="214"/>
      <c r="E62" s="214"/>
      <c r="F62" s="214"/>
      <c r="G62" s="55">
        <f>G47</f>
        <v>263294.19999999995</v>
      </c>
      <c r="H62" s="20"/>
      <c r="I62"/>
      <c r="J62"/>
      <c r="K62"/>
      <c r="L62"/>
      <c r="M62"/>
      <c r="N62"/>
      <c r="O62"/>
      <c r="P62"/>
    </row>
    <row r="63" spans="1:16" x14ac:dyDescent="0.25">
      <c r="A63" s="215" t="s">
        <v>35</v>
      </c>
      <c r="B63" s="215"/>
      <c r="C63" s="215"/>
      <c r="D63" s="215"/>
      <c r="E63" s="215"/>
      <c r="F63" s="215"/>
      <c r="G63" s="56">
        <f>SUM(G59:G62)</f>
        <v>2663179.0700000003</v>
      </c>
      <c r="H63" s="20"/>
      <c r="I63"/>
      <c r="J63"/>
      <c r="K63"/>
      <c r="L63"/>
      <c r="M63"/>
      <c r="N63"/>
      <c r="O63"/>
      <c r="P63"/>
    </row>
    <row r="64" spans="1:16" x14ac:dyDescent="0.25">
      <c r="H64" s="20"/>
      <c r="I64"/>
      <c r="J64"/>
      <c r="K64"/>
      <c r="L64"/>
      <c r="M64"/>
      <c r="N64"/>
      <c r="O64"/>
      <c r="P64"/>
    </row>
    <row r="65" spans="1:16" x14ac:dyDescent="0.25">
      <c r="A65" s="212" t="s">
        <v>243</v>
      </c>
      <c r="B65" s="212"/>
      <c r="C65" s="212"/>
      <c r="D65" s="212"/>
      <c r="E65" s="212"/>
      <c r="F65" s="212"/>
      <c r="G65" s="57">
        <f>G55+G63</f>
        <v>5041050.7100000009</v>
      </c>
      <c r="H65" s="159"/>
      <c r="I65" s="165"/>
      <c r="J65"/>
      <c r="K65" s="166"/>
      <c r="L65"/>
      <c r="M65"/>
      <c r="N65"/>
      <c r="O65"/>
      <c r="P65"/>
    </row>
    <row r="66" spans="1:16" x14ac:dyDescent="0.25">
      <c r="I66" s="74"/>
      <c r="J66" s="74"/>
      <c r="K66" s="74"/>
      <c r="L66" s="20"/>
      <c r="M66" s="20"/>
    </row>
  </sheetData>
  <mergeCells count="4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1:G11"/>
    <mergeCell ref="B13:C13"/>
    <mergeCell ref="B14:C14"/>
    <mergeCell ref="B15:C15"/>
    <mergeCell ref="B16:C16"/>
    <mergeCell ref="B17:C17"/>
    <mergeCell ref="B18:C18"/>
    <mergeCell ref="A19:D19"/>
    <mergeCell ref="A21:G21"/>
    <mergeCell ref="B23:C23"/>
    <mergeCell ref="B24:C24"/>
    <mergeCell ref="A25:D25"/>
    <mergeCell ref="A27:G27"/>
    <mergeCell ref="B29:D29"/>
    <mergeCell ref="B30:D30"/>
    <mergeCell ref="B31:D31"/>
    <mergeCell ref="B32:D32"/>
    <mergeCell ref="A33:F33"/>
    <mergeCell ref="A35:G35"/>
    <mergeCell ref="B37:E37"/>
    <mergeCell ref="B38:E38"/>
    <mergeCell ref="B39:E39"/>
    <mergeCell ref="A40:F40"/>
    <mergeCell ref="A42:G42"/>
    <mergeCell ref="A47:F47"/>
    <mergeCell ref="A49:G49"/>
    <mergeCell ref="A51:G51"/>
    <mergeCell ref="B53:F53"/>
    <mergeCell ref="B54:F54"/>
    <mergeCell ref="A55:F55"/>
    <mergeCell ref="A63:F63"/>
    <mergeCell ref="A65:F65"/>
    <mergeCell ref="A57:G57"/>
    <mergeCell ref="B59:F59"/>
    <mergeCell ref="B60:F60"/>
    <mergeCell ref="B61:F61"/>
    <mergeCell ref="B62:F62"/>
  </mergeCells>
  <pageMargins left="0.78749999999999998" right="0.78749999999999998" top="0.78749999999999998" bottom="1.05277777777778" header="0.51180555555555496" footer="0.78749999999999998"/>
  <pageSetup paperSize="9" scale="66" firstPageNumber="0" orientation="portrait" horizontalDpi="300" verticalDpi="300" r:id="rId1"/>
  <headerFooter>
    <oddFooter>&amp;L&amp;"Times New Roman,Negrito"&amp;12Estimativa em &amp;D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view="pageBreakPreview" zoomScaleNormal="100" workbookViewId="0">
      <selection sqref="A1:G1"/>
    </sheetView>
  </sheetViews>
  <sheetFormatPr defaultColWidth="9.140625" defaultRowHeight="15" x14ac:dyDescent="0.25"/>
  <cols>
    <col min="1" max="1" width="9.140625" style="36"/>
    <col min="2" max="2" width="53" style="36" customWidth="1"/>
    <col min="3" max="3" width="13.42578125" style="36" customWidth="1"/>
    <col min="4" max="4" width="10.7109375" style="36" customWidth="1"/>
    <col min="5" max="6" width="15.140625" style="36" customWidth="1"/>
    <col min="7" max="7" width="18.140625" style="36" customWidth="1"/>
    <col min="8" max="8" width="2.5703125" style="37" customWidth="1"/>
    <col min="9" max="9" width="7.85546875" style="37" customWidth="1"/>
    <col min="10" max="14" width="9.140625" style="37"/>
    <col min="15" max="1024" width="9.140625" style="36"/>
    <col min="1025" max="1025" width="11.5703125" style="30" customWidth="1"/>
  </cols>
  <sheetData>
    <row r="1" spans="1:14 1025:1025" s="39" customFormat="1" ht="45" customHeight="1" x14ac:dyDescent="0.25">
      <c r="A1" s="259" t="s">
        <v>328</v>
      </c>
      <c r="B1" s="260"/>
      <c r="C1" s="260"/>
      <c r="D1" s="260"/>
      <c r="E1" s="260"/>
      <c r="F1" s="260"/>
      <c r="G1" s="261"/>
      <c r="H1" s="38"/>
      <c r="I1" s="38"/>
      <c r="J1" s="38"/>
      <c r="K1" s="38"/>
      <c r="L1" s="38"/>
      <c r="M1" s="38"/>
      <c r="N1" s="38"/>
      <c r="AMK1" s="30"/>
    </row>
    <row r="2" spans="1:14 1025:1025" ht="25.5" x14ac:dyDescent="0.25">
      <c r="A2" s="40" t="s">
        <v>152</v>
      </c>
      <c r="B2" s="40" t="s">
        <v>153</v>
      </c>
      <c r="C2" s="40" t="s">
        <v>154</v>
      </c>
      <c r="D2" s="40" t="s">
        <v>324</v>
      </c>
      <c r="E2" s="40" t="s">
        <v>156</v>
      </c>
      <c r="F2" s="40" t="s">
        <v>347</v>
      </c>
      <c r="G2" s="40" t="s">
        <v>157</v>
      </c>
    </row>
    <row r="3" spans="1:14 1025:1025" x14ac:dyDescent="0.25">
      <c r="A3" s="41">
        <v>1</v>
      </c>
      <c r="B3" s="138" t="s">
        <v>329</v>
      </c>
      <c r="C3" s="41" t="s">
        <v>208</v>
      </c>
      <c r="D3" s="41">
        <v>2</v>
      </c>
      <c r="E3" s="43">
        <v>100</v>
      </c>
      <c r="F3" s="154">
        <v>36</v>
      </c>
      <c r="G3" s="43">
        <f>(ROUND(E3,2)*D3)/F3</f>
        <v>5.5555555555555554</v>
      </c>
      <c r="I3" s="158"/>
      <c r="J3" s="75"/>
    </row>
    <row r="4" spans="1:14 1025:1025" x14ac:dyDescent="0.25">
      <c r="A4" s="41">
        <v>2</v>
      </c>
      <c r="B4" s="138" t="s">
        <v>330</v>
      </c>
      <c r="C4" s="41" t="s">
        <v>208</v>
      </c>
      <c r="D4" s="41">
        <v>1</v>
      </c>
      <c r="E4" s="43">
        <v>909.9</v>
      </c>
      <c r="F4" s="154">
        <v>36</v>
      </c>
      <c r="G4" s="43">
        <f t="shared" ref="G4:G9" si="0">(ROUND(E4,2)*D4)/F4</f>
        <v>25.274999999999999</v>
      </c>
      <c r="I4" s="75"/>
      <c r="J4" s="75"/>
    </row>
    <row r="5" spans="1:14 1025:1025" ht="15" customHeight="1" x14ac:dyDescent="0.25">
      <c r="A5" s="41">
        <v>3</v>
      </c>
      <c r="B5" s="138" t="s">
        <v>331</v>
      </c>
      <c r="C5" s="41" t="s">
        <v>208</v>
      </c>
      <c r="D5" s="41">
        <v>1</v>
      </c>
      <c r="E5" s="139">
        <v>230.9</v>
      </c>
      <c r="F5" s="155">
        <v>36</v>
      </c>
      <c r="G5" s="43">
        <f t="shared" si="0"/>
        <v>6.4138888888888888</v>
      </c>
      <c r="I5" s="75"/>
      <c r="J5" s="75"/>
    </row>
    <row r="6" spans="1:14 1025:1025" x14ac:dyDescent="0.25">
      <c r="A6" s="41">
        <v>4</v>
      </c>
      <c r="B6" s="138" t="s">
        <v>332</v>
      </c>
      <c r="C6" s="41" t="s">
        <v>208</v>
      </c>
      <c r="D6" s="41">
        <v>1</v>
      </c>
      <c r="E6" s="43">
        <v>13.1</v>
      </c>
      <c r="F6" s="154">
        <v>36</v>
      </c>
      <c r="G6" s="43">
        <f t="shared" si="0"/>
        <v>0.36388888888888887</v>
      </c>
      <c r="I6" s="75"/>
      <c r="J6" s="75"/>
    </row>
    <row r="7" spans="1:14 1025:1025" ht="15" customHeight="1" x14ac:dyDescent="0.25">
      <c r="A7" s="41">
        <v>5</v>
      </c>
      <c r="B7" s="138" t="s">
        <v>333</v>
      </c>
      <c r="C7" s="41" t="s">
        <v>208</v>
      </c>
      <c r="D7" s="41">
        <v>1</v>
      </c>
      <c r="E7" s="43">
        <v>234.9</v>
      </c>
      <c r="F7" s="154">
        <v>36</v>
      </c>
      <c r="G7" s="43">
        <f t="shared" si="0"/>
        <v>6.5250000000000004</v>
      </c>
      <c r="I7" s="75"/>
      <c r="J7" s="75"/>
    </row>
    <row r="8" spans="1:14 1025:1025" x14ac:dyDescent="0.25">
      <c r="A8" s="41">
        <v>6</v>
      </c>
      <c r="B8" s="138" t="s">
        <v>334</v>
      </c>
      <c r="C8" s="41" t="s">
        <v>208</v>
      </c>
      <c r="D8" s="41">
        <v>1</v>
      </c>
      <c r="E8" s="43">
        <v>185.9</v>
      </c>
      <c r="F8" s="154">
        <v>36</v>
      </c>
      <c r="G8" s="43">
        <f t="shared" si="0"/>
        <v>5.1638888888888888</v>
      </c>
      <c r="I8" s="75"/>
      <c r="J8" s="75"/>
    </row>
    <row r="9" spans="1:14 1025:1025" ht="15" customHeight="1" x14ac:dyDescent="0.25">
      <c r="A9" s="41">
        <v>7</v>
      </c>
      <c r="B9" s="138" t="s">
        <v>335</v>
      </c>
      <c r="C9" s="41" t="s">
        <v>208</v>
      </c>
      <c r="D9" s="41">
        <v>1</v>
      </c>
      <c r="E9" s="43">
        <v>100</v>
      </c>
      <c r="F9" s="154">
        <v>36</v>
      </c>
      <c r="G9" s="43">
        <f t="shared" si="0"/>
        <v>2.7777777777777777</v>
      </c>
      <c r="I9" s="158"/>
      <c r="J9" s="75"/>
    </row>
    <row r="10" spans="1:14 1025:1025" ht="15.75" customHeight="1" x14ac:dyDescent="0.25">
      <c r="A10" s="45"/>
      <c r="B10" s="45"/>
      <c r="C10" s="262" t="s">
        <v>336</v>
      </c>
      <c r="D10" s="263"/>
      <c r="E10" s="263"/>
      <c r="F10" s="264"/>
      <c r="G10" s="46">
        <f>SUM(G3:G9)</f>
        <v>52.075000000000003</v>
      </c>
      <c r="I10" s="75"/>
      <c r="J10" s="76"/>
    </row>
    <row r="11" spans="1:14 1025:1025" ht="15" customHeight="1" x14ac:dyDescent="0.25">
      <c r="C11" s="253" t="s">
        <v>337</v>
      </c>
      <c r="D11" s="254"/>
      <c r="E11" s="254"/>
      <c r="F11" s="255"/>
      <c r="G11" s="47">
        <f>G10/52</f>
        <v>1.0014423076923078</v>
      </c>
      <c r="I11" s="76"/>
      <c r="J11" s="76"/>
    </row>
  </sheetData>
  <mergeCells count="3">
    <mergeCell ref="A1:G1"/>
    <mergeCell ref="C10:F10"/>
    <mergeCell ref="C11:F11"/>
  </mergeCells>
  <pageMargins left="0.78749999999999998" right="0.78749999999999998" top="0.78749999999999998" bottom="0.78749999999999998" header="0.51180555555555496" footer="0.51180555555555496"/>
  <pageSetup paperSize="9" scale="77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view="pageBreakPreview" zoomScaleNormal="100" workbookViewId="0">
      <selection sqref="A1:G1"/>
    </sheetView>
  </sheetViews>
  <sheetFormatPr defaultColWidth="9.140625" defaultRowHeight="15" x14ac:dyDescent="0.25"/>
  <cols>
    <col min="1" max="1" width="9.140625" style="36"/>
    <col min="2" max="2" width="53" style="36" customWidth="1"/>
    <col min="3" max="3" width="13.42578125" style="36" customWidth="1"/>
    <col min="4" max="4" width="10.7109375" style="36" customWidth="1"/>
    <col min="5" max="6" width="15.140625" style="36" customWidth="1"/>
    <col min="7" max="7" width="18.140625" style="36" customWidth="1"/>
    <col min="8" max="8" width="2.5703125" style="37" customWidth="1"/>
    <col min="9" max="9" width="7.85546875" style="37" customWidth="1"/>
    <col min="10" max="14" width="9.140625" style="37"/>
    <col min="15" max="1024" width="9.140625" style="36"/>
    <col min="1025" max="1025" width="11.5703125" style="30" customWidth="1"/>
  </cols>
  <sheetData>
    <row r="1" spans="1:14 1025:1025" s="39" customFormat="1" ht="45" customHeight="1" x14ac:dyDescent="0.25">
      <c r="A1" s="259" t="s">
        <v>328</v>
      </c>
      <c r="B1" s="260"/>
      <c r="C1" s="260"/>
      <c r="D1" s="260"/>
      <c r="E1" s="260"/>
      <c r="F1" s="260"/>
      <c r="G1" s="261"/>
      <c r="H1" s="38"/>
      <c r="I1" s="38"/>
      <c r="J1" s="38"/>
      <c r="K1" s="38"/>
      <c r="L1" s="38"/>
      <c r="M1" s="38"/>
      <c r="N1" s="38"/>
      <c r="AMK1" s="30"/>
    </row>
    <row r="2" spans="1:14 1025:1025" ht="25.5" x14ac:dyDescent="0.25">
      <c r="A2" s="40" t="s">
        <v>152</v>
      </c>
      <c r="B2" s="40" t="s">
        <v>153</v>
      </c>
      <c r="C2" s="40" t="s">
        <v>154</v>
      </c>
      <c r="D2" s="40" t="s">
        <v>324</v>
      </c>
      <c r="E2" s="40" t="s">
        <v>156</v>
      </c>
      <c r="F2" s="40" t="s">
        <v>370</v>
      </c>
      <c r="G2" s="40" t="s">
        <v>157</v>
      </c>
    </row>
    <row r="3" spans="1:14 1025:1025" x14ac:dyDescent="0.25">
      <c r="A3" s="41">
        <v>1</v>
      </c>
      <c r="B3" s="147" t="s">
        <v>348</v>
      </c>
      <c r="C3" s="41" t="s">
        <v>208</v>
      </c>
      <c r="D3" s="41">
        <v>1</v>
      </c>
      <c r="E3" s="43">
        <v>602.9</v>
      </c>
      <c r="F3" s="154">
        <v>24</v>
      </c>
      <c r="G3" s="43">
        <f>(ROUND(E3,2)*D3)/F3</f>
        <v>25.120833333333334</v>
      </c>
      <c r="I3" s="75"/>
      <c r="J3" s="75"/>
    </row>
    <row r="4" spans="1:14 1025:1025" x14ac:dyDescent="0.25">
      <c r="A4" s="41">
        <v>2</v>
      </c>
      <c r="B4" s="148" t="s">
        <v>349</v>
      </c>
      <c r="C4" s="41" t="s">
        <v>208</v>
      </c>
      <c r="D4" s="41">
        <v>1</v>
      </c>
      <c r="E4" s="43">
        <v>60</v>
      </c>
      <c r="F4" s="154">
        <v>24</v>
      </c>
      <c r="G4" s="43">
        <f t="shared" ref="G4:G24" si="0">(ROUND(E4,2)*D4)/F4</f>
        <v>2.5</v>
      </c>
      <c r="I4" s="75"/>
      <c r="J4" s="75"/>
    </row>
    <row r="5" spans="1:14 1025:1025" ht="15" customHeight="1" x14ac:dyDescent="0.25">
      <c r="A5" s="149">
        <v>3</v>
      </c>
      <c r="B5" s="151" t="s">
        <v>350</v>
      </c>
      <c r="C5" s="150" t="s">
        <v>208</v>
      </c>
      <c r="D5" s="41">
        <v>1</v>
      </c>
      <c r="E5" s="139">
        <v>18</v>
      </c>
      <c r="F5" s="154">
        <v>24</v>
      </c>
      <c r="G5" s="43">
        <f t="shared" si="0"/>
        <v>0.75</v>
      </c>
      <c r="I5" s="75"/>
      <c r="J5" s="75"/>
    </row>
    <row r="6" spans="1:14 1025:1025" x14ac:dyDescent="0.25">
      <c r="A6" s="149">
        <v>4</v>
      </c>
      <c r="B6" s="151" t="s">
        <v>351</v>
      </c>
      <c r="C6" s="150" t="s">
        <v>208</v>
      </c>
      <c r="D6" s="41">
        <v>1</v>
      </c>
      <c r="E6" s="43">
        <v>799</v>
      </c>
      <c r="F6" s="154">
        <v>24</v>
      </c>
      <c r="G6" s="43">
        <f t="shared" si="0"/>
        <v>33.291666666666664</v>
      </c>
      <c r="I6" s="75"/>
      <c r="J6" s="75"/>
    </row>
    <row r="7" spans="1:14 1025:1025" ht="15" customHeight="1" x14ac:dyDescent="0.25">
      <c r="A7" s="149">
        <v>5</v>
      </c>
      <c r="B7" s="151" t="s">
        <v>352</v>
      </c>
      <c r="C7" s="150" t="s">
        <v>208</v>
      </c>
      <c r="D7" s="41">
        <v>1</v>
      </c>
      <c r="E7" s="43">
        <v>511</v>
      </c>
      <c r="F7" s="154">
        <v>24</v>
      </c>
      <c r="G7" s="43">
        <f t="shared" si="0"/>
        <v>21.291666666666668</v>
      </c>
      <c r="I7" s="75"/>
      <c r="J7" s="75"/>
    </row>
    <row r="8" spans="1:14 1025:1025" x14ac:dyDescent="0.25">
      <c r="A8" s="149">
        <v>6</v>
      </c>
      <c r="B8" s="151" t="s">
        <v>353</v>
      </c>
      <c r="C8" s="150" t="s">
        <v>208</v>
      </c>
      <c r="D8" s="41">
        <v>1</v>
      </c>
      <c r="E8" s="43">
        <v>10.4</v>
      </c>
      <c r="F8" s="154">
        <v>24</v>
      </c>
      <c r="G8" s="43">
        <f t="shared" si="0"/>
        <v>0.43333333333333335</v>
      </c>
      <c r="I8" s="75"/>
      <c r="J8" s="75"/>
    </row>
    <row r="9" spans="1:14 1025:1025" ht="15" customHeight="1" x14ac:dyDescent="0.25">
      <c r="A9" s="149">
        <v>7</v>
      </c>
      <c r="B9" s="151" t="s">
        <v>354</v>
      </c>
      <c r="C9" s="150" t="s">
        <v>208</v>
      </c>
      <c r="D9" s="41">
        <v>1</v>
      </c>
      <c r="E9" s="43">
        <v>53</v>
      </c>
      <c r="F9" s="154">
        <v>24</v>
      </c>
      <c r="G9" s="43">
        <f t="shared" si="0"/>
        <v>2.2083333333333335</v>
      </c>
      <c r="I9" s="75"/>
      <c r="J9" s="75"/>
    </row>
    <row r="10" spans="1:14 1025:1025" x14ac:dyDescent="0.25">
      <c r="A10" s="149">
        <v>8</v>
      </c>
      <c r="B10" s="151" t="s">
        <v>355</v>
      </c>
      <c r="C10" s="150" t="s">
        <v>208</v>
      </c>
      <c r="D10" s="41">
        <v>1</v>
      </c>
      <c r="E10" s="43">
        <v>36.4</v>
      </c>
      <c r="F10" s="154">
        <v>24</v>
      </c>
      <c r="G10" s="43">
        <f t="shared" si="0"/>
        <v>1.5166666666666666</v>
      </c>
      <c r="I10" s="75"/>
      <c r="J10" s="75"/>
    </row>
    <row r="11" spans="1:14 1025:1025" x14ac:dyDescent="0.25">
      <c r="A11" s="149">
        <v>9</v>
      </c>
      <c r="B11" s="151" t="s">
        <v>356</v>
      </c>
      <c r="C11" s="150" t="s">
        <v>208</v>
      </c>
      <c r="D11" s="41">
        <v>1</v>
      </c>
      <c r="E11" s="43">
        <v>31.5</v>
      </c>
      <c r="F11" s="154">
        <v>24</v>
      </c>
      <c r="G11" s="43">
        <f t="shared" si="0"/>
        <v>1.3125</v>
      </c>
      <c r="I11" s="75"/>
      <c r="J11" s="75"/>
    </row>
    <row r="12" spans="1:14 1025:1025" ht="15" customHeight="1" x14ac:dyDescent="0.25">
      <c r="A12" s="149">
        <v>10</v>
      </c>
      <c r="B12" s="151" t="s">
        <v>357</v>
      </c>
      <c r="C12" s="150" t="s">
        <v>208</v>
      </c>
      <c r="D12" s="41">
        <v>1</v>
      </c>
      <c r="E12" s="139">
        <v>64.3</v>
      </c>
      <c r="F12" s="154">
        <v>24</v>
      </c>
      <c r="G12" s="43">
        <f t="shared" si="0"/>
        <v>2.6791666666666667</v>
      </c>
      <c r="I12" s="75"/>
      <c r="J12" s="75"/>
    </row>
    <row r="13" spans="1:14 1025:1025" x14ac:dyDescent="0.25">
      <c r="A13" s="149">
        <v>11</v>
      </c>
      <c r="B13" s="151" t="s">
        <v>358</v>
      </c>
      <c r="C13" s="150" t="s">
        <v>208</v>
      </c>
      <c r="D13" s="41">
        <v>1</v>
      </c>
      <c r="E13" s="43">
        <v>24.8</v>
      </c>
      <c r="F13" s="154">
        <v>24</v>
      </c>
      <c r="G13" s="43">
        <f t="shared" si="0"/>
        <v>1.0333333333333334</v>
      </c>
      <c r="I13" s="75"/>
      <c r="J13" s="75"/>
    </row>
    <row r="14" spans="1:14 1025:1025" ht="15" customHeight="1" x14ac:dyDescent="0.25">
      <c r="A14" s="149">
        <v>12</v>
      </c>
      <c r="B14" s="151" t="s">
        <v>359</v>
      </c>
      <c r="C14" s="150" t="s">
        <v>208</v>
      </c>
      <c r="D14" s="41">
        <v>1</v>
      </c>
      <c r="E14" s="43">
        <v>306.89999999999998</v>
      </c>
      <c r="F14" s="154">
        <v>24</v>
      </c>
      <c r="G14" s="43">
        <f t="shared" si="0"/>
        <v>12.7875</v>
      </c>
      <c r="I14" s="75"/>
      <c r="J14" s="75"/>
    </row>
    <row r="15" spans="1:14 1025:1025" x14ac:dyDescent="0.25">
      <c r="A15" s="149">
        <v>13</v>
      </c>
      <c r="B15" s="151" t="s">
        <v>360</v>
      </c>
      <c r="C15" s="150" t="s">
        <v>208</v>
      </c>
      <c r="D15" s="41">
        <v>1</v>
      </c>
      <c r="E15" s="43">
        <v>0.33</v>
      </c>
      <c r="F15" s="154">
        <v>24</v>
      </c>
      <c r="G15" s="43">
        <f t="shared" si="0"/>
        <v>1.375E-2</v>
      </c>
      <c r="I15" s="75"/>
      <c r="J15" s="75"/>
    </row>
    <row r="16" spans="1:14 1025:1025" ht="15" customHeight="1" x14ac:dyDescent="0.25">
      <c r="A16" s="149">
        <v>14</v>
      </c>
      <c r="B16" s="151" t="s">
        <v>361</v>
      </c>
      <c r="C16" s="150" t="s">
        <v>208</v>
      </c>
      <c r="D16" s="41">
        <v>1</v>
      </c>
      <c r="E16" s="43">
        <v>280.89999999999998</v>
      </c>
      <c r="F16" s="154">
        <v>24</v>
      </c>
      <c r="G16" s="43">
        <f t="shared" si="0"/>
        <v>11.704166666666666</v>
      </c>
      <c r="I16" s="75"/>
      <c r="J16" s="75"/>
    </row>
    <row r="17" spans="1:10" x14ac:dyDescent="0.25">
      <c r="A17" s="149">
        <v>15</v>
      </c>
      <c r="B17" s="151" t="s">
        <v>362</v>
      </c>
      <c r="C17" s="150" t="s">
        <v>208</v>
      </c>
      <c r="D17" s="41">
        <v>5</v>
      </c>
      <c r="E17" s="43">
        <v>1.5</v>
      </c>
      <c r="F17" s="154">
        <v>24</v>
      </c>
      <c r="G17" s="43">
        <f t="shared" si="0"/>
        <v>0.3125</v>
      </c>
      <c r="I17" s="75"/>
      <c r="J17" s="75"/>
    </row>
    <row r="18" spans="1:10" x14ac:dyDescent="0.25">
      <c r="A18" s="149">
        <v>16</v>
      </c>
      <c r="B18" s="151" t="s">
        <v>363</v>
      </c>
      <c r="C18" s="150" t="s">
        <v>208</v>
      </c>
      <c r="D18" s="41">
        <v>5</v>
      </c>
      <c r="E18" s="43">
        <v>40</v>
      </c>
      <c r="F18" s="154">
        <v>24</v>
      </c>
      <c r="G18" s="43">
        <f t="shared" si="0"/>
        <v>8.3333333333333339</v>
      </c>
      <c r="I18" s="75"/>
      <c r="J18" s="75"/>
    </row>
    <row r="19" spans="1:10" ht="15" customHeight="1" x14ac:dyDescent="0.25">
      <c r="A19" s="149">
        <v>17</v>
      </c>
      <c r="B19" s="151" t="s">
        <v>364</v>
      </c>
      <c r="C19" s="150" t="s">
        <v>323</v>
      </c>
      <c r="D19" s="41">
        <v>5</v>
      </c>
      <c r="E19" s="139">
        <v>29</v>
      </c>
      <c r="F19" s="154">
        <v>24</v>
      </c>
      <c r="G19" s="43">
        <f t="shared" si="0"/>
        <v>6.041666666666667</v>
      </c>
      <c r="I19" s="75"/>
      <c r="J19" s="75"/>
    </row>
    <row r="20" spans="1:10" x14ac:dyDescent="0.25">
      <c r="A20" s="149">
        <v>18</v>
      </c>
      <c r="B20" s="152" t="s">
        <v>365</v>
      </c>
      <c r="C20" s="150" t="s">
        <v>208</v>
      </c>
      <c r="D20" s="41">
        <v>5</v>
      </c>
      <c r="E20" s="43">
        <v>14</v>
      </c>
      <c r="F20" s="154">
        <v>24</v>
      </c>
      <c r="G20" s="43">
        <f t="shared" si="0"/>
        <v>2.9166666666666665</v>
      </c>
      <c r="I20" s="75"/>
      <c r="J20" s="75"/>
    </row>
    <row r="21" spans="1:10" ht="15" customHeight="1" x14ac:dyDescent="0.25">
      <c r="A21" s="149">
        <v>19</v>
      </c>
      <c r="B21" s="153" t="s">
        <v>366</v>
      </c>
      <c r="C21" s="150" t="s">
        <v>323</v>
      </c>
      <c r="D21" s="41">
        <v>5</v>
      </c>
      <c r="E21" s="43">
        <v>9.1</v>
      </c>
      <c r="F21" s="154">
        <v>24</v>
      </c>
      <c r="G21" s="43">
        <f t="shared" si="0"/>
        <v>1.8958333333333333</v>
      </c>
      <c r="I21" s="75"/>
      <c r="J21" s="75"/>
    </row>
    <row r="22" spans="1:10" x14ac:dyDescent="0.25">
      <c r="A22" s="149">
        <v>20</v>
      </c>
      <c r="B22" s="151" t="s">
        <v>367</v>
      </c>
      <c r="C22" s="150" t="s">
        <v>208</v>
      </c>
      <c r="D22" s="41">
        <v>1</v>
      </c>
      <c r="E22" s="43">
        <v>4.8</v>
      </c>
      <c r="F22" s="154">
        <v>24</v>
      </c>
      <c r="G22" s="43">
        <f t="shared" si="0"/>
        <v>0.19999999999999998</v>
      </c>
      <c r="I22" s="75"/>
      <c r="J22" s="75"/>
    </row>
    <row r="23" spans="1:10" ht="15" customHeight="1" x14ac:dyDescent="0.25">
      <c r="A23" s="149">
        <v>21</v>
      </c>
      <c r="B23" s="151" t="s">
        <v>368</v>
      </c>
      <c r="C23" s="150" t="s">
        <v>208</v>
      </c>
      <c r="D23" s="41">
        <v>1</v>
      </c>
      <c r="E23" s="43">
        <v>468.3</v>
      </c>
      <c r="F23" s="154">
        <v>24</v>
      </c>
      <c r="G23" s="43">
        <f t="shared" si="0"/>
        <v>19.512499999999999</v>
      </c>
      <c r="I23" s="75"/>
      <c r="J23" s="75"/>
    </row>
    <row r="24" spans="1:10" x14ac:dyDescent="0.25">
      <c r="A24" s="149">
        <v>22</v>
      </c>
      <c r="B24" s="151" t="s">
        <v>369</v>
      </c>
      <c r="C24" s="150" t="s">
        <v>208</v>
      </c>
      <c r="D24" s="41">
        <v>1</v>
      </c>
      <c r="E24" s="43">
        <v>3.52</v>
      </c>
      <c r="F24" s="154">
        <v>24</v>
      </c>
      <c r="G24" s="43">
        <f t="shared" si="0"/>
        <v>0.14666666666666667</v>
      </c>
      <c r="I24" s="75"/>
      <c r="J24" s="75"/>
    </row>
    <row r="25" spans="1:10" ht="15.75" customHeight="1" x14ac:dyDescent="0.25">
      <c r="A25" s="45"/>
      <c r="B25" s="45"/>
      <c r="C25" s="265" t="s">
        <v>336</v>
      </c>
      <c r="D25" s="266"/>
      <c r="E25" s="266"/>
      <c r="F25" s="267"/>
      <c r="G25" s="46">
        <f>SUM(G3:G24)</f>
        <v>156.0020833333333</v>
      </c>
      <c r="I25" s="75"/>
      <c r="J25" s="76"/>
    </row>
    <row r="26" spans="1:10" ht="15" customHeight="1" x14ac:dyDescent="0.25">
      <c r="C26" s="268" t="s">
        <v>337</v>
      </c>
      <c r="D26" s="269"/>
      <c r="E26" s="269"/>
      <c r="F26" s="270"/>
      <c r="G26" s="47">
        <f>G25/5</f>
        <v>31.200416666666662</v>
      </c>
      <c r="I26" s="76"/>
      <c r="J26" s="76"/>
    </row>
  </sheetData>
  <mergeCells count="3">
    <mergeCell ref="A1:G1"/>
    <mergeCell ref="C25:F25"/>
    <mergeCell ref="C26:F26"/>
  </mergeCells>
  <pageMargins left="0.78749999999999998" right="0.78749999999999998" top="0.78749999999999998" bottom="0.78749999999999998" header="0.51180555555555496" footer="0.51180555555555496"/>
  <pageSetup paperSize="9" scale="77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3" t="s">
        <v>14</v>
      </c>
      <c r="B13" s="233"/>
      <c r="C13" s="81" t="s">
        <v>15</v>
      </c>
      <c r="D13" s="81">
        <v>52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18</v>
      </c>
      <c r="D17" s="229"/>
    </row>
    <row r="18" spans="1:4" x14ac:dyDescent="0.25">
      <c r="A18" s="81">
        <v>2</v>
      </c>
      <c r="B18" s="4" t="s">
        <v>19</v>
      </c>
      <c r="C18" s="229" t="s">
        <v>20</v>
      </c>
      <c r="D18" s="229"/>
    </row>
    <row r="19" spans="1:4" x14ac:dyDescent="0.25">
      <c r="A19" s="81">
        <v>3</v>
      </c>
      <c r="B19" s="4" t="s">
        <v>21</v>
      </c>
      <c r="C19" s="230">
        <v>1212.03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1212.03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1212.03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100.96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134.65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235.61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289.52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36.19</v>
      </c>
    </row>
    <row r="51" spans="1:4" x14ac:dyDescent="0.25">
      <c r="A51" s="8" t="s">
        <v>6</v>
      </c>
      <c r="B51" s="10" t="s">
        <v>48</v>
      </c>
      <c r="C51" s="17">
        <f>2.01%</f>
        <v>2.0099999999999996E-2</v>
      </c>
      <c r="D51" s="11">
        <f t="shared" si="0"/>
        <v>29.09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21.71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14.47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8.68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2.89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115.81</v>
      </c>
    </row>
    <row r="57" spans="1:4" ht="12.75" customHeight="1" x14ac:dyDescent="0.25">
      <c r="A57" s="221" t="s">
        <v>56</v>
      </c>
      <c r="B57" s="221"/>
      <c r="C57" s="18">
        <f>SUM(C49:C56)</f>
        <v>0.35810000000000003</v>
      </c>
      <c r="D57" s="15">
        <f>SUM(D49:D56)</f>
        <v>518.3599999999999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156.07820000000001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523.74819999999988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235.61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518.3599999999999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523.74819999999988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1277.7181999999998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TRUNC(((1/12)*5%),4)</f>
        <v>4.1000000000000003E-3</v>
      </c>
      <c r="D83" s="11">
        <f>TRUNC($D$33*C83,2)</f>
        <v>4.96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0.39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24.24</v>
      </c>
    </row>
    <row r="86" spans="1:5" x14ac:dyDescent="0.25">
      <c r="A86" s="8" t="s">
        <v>8</v>
      </c>
      <c r="B86" s="23" t="s">
        <v>72</v>
      </c>
      <c r="C86" s="161">
        <f>TRUNC(((7/30)/12)*95%,4)</f>
        <v>1.84E-2</v>
      </c>
      <c r="D86" s="11">
        <f>TRUNC($D$33*C86,2)</f>
        <v>22.3</v>
      </c>
    </row>
    <row r="87" spans="1:5" x14ac:dyDescent="0.25">
      <c r="A87" s="8" t="s">
        <v>31</v>
      </c>
      <c r="B87" s="23" t="s">
        <v>73</v>
      </c>
      <c r="C87" s="161">
        <f>C57</f>
        <v>0.35810000000000003</v>
      </c>
      <c r="D87" s="11">
        <f>TRUNC(D86*C87,2)</f>
        <v>7.98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24.24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84.11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</f>
        <v>9.1999999999999998E-3</v>
      </c>
      <c r="D98" s="11">
        <f t="shared" ref="D98:D103" si="1">TRUNC(($D$33+$D$77+$D$89)*C98,2)</f>
        <v>23.67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14.15</v>
      </c>
    </row>
    <row r="100" spans="1:6" x14ac:dyDescent="0.25">
      <c r="A100" s="8" t="s">
        <v>6</v>
      </c>
      <c r="B100" s="10" t="s">
        <v>81</v>
      </c>
      <c r="C100" s="16">
        <f>TRUNC(((5/30)/12)*2%,4)</f>
        <v>2.0000000000000001E-4</v>
      </c>
      <c r="D100" s="11">
        <f t="shared" si="1"/>
        <v>0.51</v>
      </c>
    </row>
    <row r="101" spans="1:6" x14ac:dyDescent="0.25">
      <c r="A101" s="8" t="s">
        <v>8</v>
      </c>
      <c r="B101" s="10" t="s">
        <v>82</v>
      </c>
      <c r="C101" s="16">
        <f>TRUNC(((15/30)/12)*8%,4)</f>
        <v>3.3E-3</v>
      </c>
      <c r="D101" s="11">
        <f t="shared" si="1"/>
        <v>8.49</v>
      </c>
    </row>
    <row r="102" spans="1:6" x14ac:dyDescent="0.25">
      <c r="A102" s="8" t="s">
        <v>31</v>
      </c>
      <c r="B102" s="10" t="s">
        <v>83</v>
      </c>
      <c r="C102" s="16">
        <f>((1+1/3)/12)*3%*(4/12)</f>
        <v>1.1111111111111109E-3</v>
      </c>
      <c r="D102" s="11">
        <f t="shared" si="1"/>
        <v>2.85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49.67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4" x14ac:dyDescent="0.25">
      <c r="A114" s="225" t="s">
        <v>89</v>
      </c>
      <c r="B114" s="225"/>
      <c r="C114" s="225"/>
      <c r="D114" s="225"/>
    </row>
    <row r="115" spans="1:4" x14ac:dyDescent="0.25">
      <c r="A115" s="13"/>
    </row>
    <row r="116" spans="1:4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4" ht="12.75" customHeight="1" x14ac:dyDescent="0.25">
      <c r="A117" s="8" t="s">
        <v>77</v>
      </c>
      <c r="B117" s="220" t="s">
        <v>78</v>
      </c>
      <c r="C117" s="220"/>
      <c r="D117" s="19">
        <f>D104</f>
        <v>49.67</v>
      </c>
    </row>
    <row r="118" spans="1:4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4" ht="12.75" customHeight="1" x14ac:dyDescent="0.25">
      <c r="A119" s="221" t="s">
        <v>35</v>
      </c>
      <c r="B119" s="221"/>
      <c r="C119" s="221"/>
      <c r="D119" s="15">
        <f>SUM(D117:D118)</f>
        <v>49.67</v>
      </c>
    </row>
    <row r="122" spans="1:4" x14ac:dyDescent="0.25">
      <c r="A122" s="222" t="s">
        <v>91</v>
      </c>
      <c r="B122" s="222"/>
      <c r="C122" s="222"/>
      <c r="D122" s="222"/>
    </row>
    <row r="124" spans="1:4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4" x14ac:dyDescent="0.25">
      <c r="A125" s="8" t="s">
        <v>2</v>
      </c>
      <c r="B125" s="10" t="s">
        <v>93</v>
      </c>
      <c r="C125" s="10"/>
      <c r="D125" s="11">
        <f>'unif e EPI'!F9</f>
        <v>36.4</v>
      </c>
    </row>
    <row r="126" spans="1:4" x14ac:dyDescent="0.25">
      <c r="A126" s="8" t="s">
        <v>4</v>
      </c>
      <c r="B126" s="10" t="s">
        <v>94</v>
      </c>
      <c r="C126" s="10"/>
      <c r="D126" s="11">
        <v>0</v>
      </c>
    </row>
    <row r="127" spans="1:4" x14ac:dyDescent="0.25">
      <c r="A127" s="8" t="s">
        <v>6</v>
      </c>
      <c r="B127" s="10" t="s">
        <v>95</v>
      </c>
      <c r="C127" s="10"/>
      <c r="D127" s="145">
        <f>'equip serv'!G11</f>
        <v>1.0014423076923078</v>
      </c>
    </row>
    <row r="128" spans="1:4" x14ac:dyDescent="0.25">
      <c r="A128" s="8" t="s">
        <v>8</v>
      </c>
      <c r="B128" s="10" t="s">
        <v>96</v>
      </c>
      <c r="C128" s="10"/>
      <c r="D128" s="145">
        <f>'unif e EPI'!F22</f>
        <v>25.883333333333336</v>
      </c>
    </row>
    <row r="129" spans="1:4" ht="12.75" customHeight="1" x14ac:dyDescent="0.25">
      <c r="A129" s="221" t="s">
        <v>56</v>
      </c>
      <c r="B129" s="221"/>
      <c r="C129" s="221"/>
      <c r="D129" s="12">
        <f>SUM(D125:D128)</f>
        <v>63.284775641025647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26.868129756410259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17.367559074543593</v>
      </c>
    </row>
    <row r="137" spans="1:4" x14ac:dyDescent="0.25">
      <c r="A137" s="8" t="s">
        <v>6</v>
      </c>
      <c r="B137" s="10" t="s">
        <v>101</v>
      </c>
      <c r="C137" s="14">
        <f>SUM(C138:C143)</f>
        <v>7.22E-2</v>
      </c>
      <c r="D137" s="11">
        <f>(D155+D135+D136)*C137/(1-C137)</f>
        <v>212.52609783884128</v>
      </c>
    </row>
    <row r="138" spans="1:4" x14ac:dyDescent="0.25">
      <c r="A138" s="8"/>
      <c r="B138" s="10" t="s">
        <v>102</v>
      </c>
      <c r="C138" s="16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11.774280000000001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53.572974000000002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147.17850000000001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256.76178666979513</v>
      </c>
    </row>
    <row r="147" spans="1:7" x14ac:dyDescent="0.25">
      <c r="A147" s="222" t="s">
        <v>108</v>
      </c>
      <c r="B147" s="222"/>
      <c r="C147" s="222"/>
      <c r="D147" s="222"/>
    </row>
    <row r="149" spans="1:7" ht="12.75" customHeight="1" x14ac:dyDescent="0.25">
      <c r="A149" s="9"/>
      <c r="B149" s="221" t="s">
        <v>109</v>
      </c>
      <c r="C149" s="221"/>
      <c r="D149" s="9" t="s">
        <v>26</v>
      </c>
      <c r="G149" s="167">
        <f>Total!I65</f>
        <v>0</v>
      </c>
    </row>
    <row r="150" spans="1:7" ht="12.75" customHeight="1" x14ac:dyDescent="0.25">
      <c r="A150" s="9" t="s">
        <v>2</v>
      </c>
      <c r="B150" s="220" t="s">
        <v>24</v>
      </c>
      <c r="C150" s="220"/>
      <c r="D150" s="26">
        <f>D33</f>
        <v>1212.03</v>
      </c>
    </row>
    <row r="151" spans="1:7" ht="12.75" customHeight="1" x14ac:dyDescent="0.25">
      <c r="A151" s="9" t="s">
        <v>4</v>
      </c>
      <c r="B151" s="220" t="s">
        <v>36</v>
      </c>
      <c r="C151" s="220"/>
      <c r="D151" s="26">
        <f>D77</f>
        <v>1277.7181999999998</v>
      </c>
    </row>
    <row r="152" spans="1:7" ht="12.75" customHeight="1" x14ac:dyDescent="0.25">
      <c r="A152" s="9" t="s">
        <v>6</v>
      </c>
      <c r="B152" s="220" t="s">
        <v>67</v>
      </c>
      <c r="C152" s="220"/>
      <c r="D152" s="26">
        <f>D89</f>
        <v>84.11</v>
      </c>
    </row>
    <row r="153" spans="1:7" ht="12.75" customHeight="1" x14ac:dyDescent="0.25">
      <c r="A153" s="9" t="s">
        <v>8</v>
      </c>
      <c r="B153" s="220" t="s">
        <v>75</v>
      </c>
      <c r="C153" s="220"/>
      <c r="D153" s="26">
        <f>D119</f>
        <v>49.67</v>
      </c>
    </row>
    <row r="154" spans="1:7" ht="12.75" customHeight="1" x14ac:dyDescent="0.25">
      <c r="A154" s="9" t="s">
        <v>31</v>
      </c>
      <c r="B154" s="220" t="s">
        <v>91</v>
      </c>
      <c r="C154" s="220"/>
      <c r="D154" s="26">
        <f>D129</f>
        <v>63.284775641025647</v>
      </c>
    </row>
    <row r="155" spans="1:7" ht="12.75" customHeight="1" x14ac:dyDescent="0.25">
      <c r="A155" s="221" t="s">
        <v>110</v>
      </c>
      <c r="B155" s="221"/>
      <c r="C155" s="221"/>
      <c r="D155" s="27">
        <f>SUM(D150:D154)</f>
        <v>2686.8129756410258</v>
      </c>
    </row>
    <row r="156" spans="1:7" ht="12.75" customHeight="1" x14ac:dyDescent="0.25">
      <c r="A156" s="9" t="s">
        <v>51</v>
      </c>
      <c r="B156" s="220" t="s">
        <v>111</v>
      </c>
      <c r="C156" s="220"/>
      <c r="D156" s="28">
        <f>D144</f>
        <v>256.76178666979513</v>
      </c>
    </row>
    <row r="157" spans="1:7" ht="12.75" customHeight="1" x14ac:dyDescent="0.25">
      <c r="A157" s="221" t="s">
        <v>112</v>
      </c>
      <c r="B157" s="221"/>
      <c r="C157" s="221"/>
      <c r="D157" s="27">
        <f>TRUNC(SUM(D155:D156),2)</f>
        <v>2943.57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1102362204722" right="0.51181102362204722" top="0.78740157480314965" bottom="0.78740157480314965" header="0.51181102362204722" footer="0.51181102362204722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3" t="s">
        <v>113</v>
      </c>
      <c r="B13" s="233"/>
      <c r="C13" s="81" t="s">
        <v>15</v>
      </c>
      <c r="D13" s="81">
        <v>1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113</v>
      </c>
      <c r="D17" s="229"/>
    </row>
    <row r="18" spans="1:4" x14ac:dyDescent="0.25">
      <c r="A18" s="81">
        <v>2</v>
      </c>
      <c r="B18" s="4" t="s">
        <v>19</v>
      </c>
      <c r="C18" s="229" t="s">
        <v>114</v>
      </c>
      <c r="D18" s="229"/>
    </row>
    <row r="19" spans="1:4" x14ac:dyDescent="0.25">
      <c r="A19" s="81">
        <v>3</v>
      </c>
      <c r="B19" s="4" t="s">
        <v>21</v>
      </c>
      <c r="C19" s="230">
        <v>1273.17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1273.17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1273.17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106.05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141.44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247.49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304.13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38.01</v>
      </c>
    </row>
    <row r="51" spans="1:4" x14ac:dyDescent="0.25">
      <c r="A51" s="8" t="s">
        <v>6</v>
      </c>
      <c r="B51" s="10" t="s">
        <v>48</v>
      </c>
      <c r="C51" s="17">
        <f>2.01%</f>
        <v>2.0099999999999996E-2</v>
      </c>
      <c r="D51" s="11">
        <f t="shared" si="0"/>
        <v>30.56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22.8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15.2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9.1199999999999992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3.04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121.65</v>
      </c>
    </row>
    <row r="57" spans="1:4" ht="12.75" customHeight="1" x14ac:dyDescent="0.25">
      <c r="A57" s="221" t="s">
        <v>56</v>
      </c>
      <c r="B57" s="221"/>
      <c r="C57" s="18">
        <f>SUM(C49:C56)</f>
        <v>0.35810000000000003</v>
      </c>
      <c r="D57" s="15">
        <f>SUM(D49:D56)</f>
        <v>544.51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152.40980000000002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520.07979999999998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247.49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544.51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520.07979999999998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1312.0798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TRUNC(((1/12)*5%),4)</f>
        <v>4.1000000000000003E-3</v>
      </c>
      <c r="D83" s="11">
        <f>TRUNC($D$33*C83,2)</f>
        <v>5.21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0.41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25.46</v>
      </c>
    </row>
    <row r="86" spans="1:5" x14ac:dyDescent="0.25">
      <c r="A86" s="8" t="s">
        <v>8</v>
      </c>
      <c r="B86" s="23" t="s">
        <v>72</v>
      </c>
      <c r="C86" s="161">
        <f>TRUNC(((7/30)/12)*95%,4)</f>
        <v>1.84E-2</v>
      </c>
      <c r="D86" s="11">
        <f>TRUNC($D$33*C86,2)</f>
        <v>23.42</v>
      </c>
    </row>
    <row r="87" spans="1:5" x14ac:dyDescent="0.25">
      <c r="A87" s="8" t="s">
        <v>31</v>
      </c>
      <c r="B87" s="23" t="s">
        <v>73</v>
      </c>
      <c r="C87" s="161">
        <f>C57</f>
        <v>0.35810000000000003</v>
      </c>
      <c r="D87" s="11">
        <f>TRUNC(D86*C87,2)</f>
        <v>8.3800000000000008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25.46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88.34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</f>
        <v>9.1999999999999998E-3</v>
      </c>
      <c r="D98" s="11">
        <f t="shared" ref="D98:D103" si="1">TRUNC(($D$33+$D$77+$D$89)*C98,2)</f>
        <v>24.59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14.7</v>
      </c>
    </row>
    <row r="100" spans="1:6" x14ac:dyDescent="0.25">
      <c r="A100" s="8" t="s">
        <v>6</v>
      </c>
      <c r="B100" s="10" t="s">
        <v>81</v>
      </c>
      <c r="C100" s="16">
        <f>TRUNC(((5/30)/12)*2%,4)</f>
        <v>2.0000000000000001E-4</v>
      </c>
      <c r="D100" s="11">
        <f t="shared" si="1"/>
        <v>0.53</v>
      </c>
    </row>
    <row r="101" spans="1:6" x14ac:dyDescent="0.25">
      <c r="A101" s="8" t="s">
        <v>8</v>
      </c>
      <c r="B101" s="10" t="s">
        <v>82</v>
      </c>
      <c r="C101" s="16">
        <f>TRUNC(((15/30)/12)*8%,4)</f>
        <v>3.3E-3</v>
      </c>
      <c r="D101" s="11">
        <f t="shared" si="1"/>
        <v>8.82</v>
      </c>
    </row>
    <row r="102" spans="1:6" x14ac:dyDescent="0.25">
      <c r="A102" s="8" t="s">
        <v>31</v>
      </c>
      <c r="B102" s="10" t="s">
        <v>83</v>
      </c>
      <c r="C102" s="16">
        <f>((1+1/3)/12)*3%*(4/12)</f>
        <v>1.1111111111111109E-3</v>
      </c>
      <c r="D102" s="11">
        <f t="shared" si="1"/>
        <v>2.97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51.61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5" x14ac:dyDescent="0.25">
      <c r="A114" s="225" t="s">
        <v>89</v>
      </c>
      <c r="B114" s="225"/>
      <c r="C114" s="225"/>
      <c r="D114" s="225"/>
    </row>
    <row r="115" spans="1:5" x14ac:dyDescent="0.25">
      <c r="A115" s="13"/>
    </row>
    <row r="116" spans="1:5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5" ht="12.75" customHeight="1" x14ac:dyDescent="0.25">
      <c r="A117" s="8" t="s">
        <v>77</v>
      </c>
      <c r="B117" s="220" t="s">
        <v>78</v>
      </c>
      <c r="C117" s="220"/>
      <c r="D117" s="19">
        <f>D104</f>
        <v>51.61</v>
      </c>
    </row>
    <row r="118" spans="1:5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5" ht="12.75" customHeight="1" x14ac:dyDescent="0.25">
      <c r="A119" s="221" t="s">
        <v>35</v>
      </c>
      <c r="B119" s="221"/>
      <c r="C119" s="221"/>
      <c r="D119" s="15">
        <f>SUM(D117:D118)</f>
        <v>51.61</v>
      </c>
    </row>
    <row r="122" spans="1:5" x14ac:dyDescent="0.25">
      <c r="A122" s="222" t="s">
        <v>91</v>
      </c>
      <c r="B122" s="222"/>
      <c r="C122" s="222"/>
      <c r="D122" s="222"/>
    </row>
    <row r="124" spans="1:5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5" x14ac:dyDescent="0.25">
      <c r="A125" s="8" t="s">
        <v>2</v>
      </c>
      <c r="B125" s="10" t="s">
        <v>93</v>
      </c>
      <c r="C125" s="10"/>
      <c r="D125" s="11">
        <f>'unif e EPI'!F9</f>
        <v>36.4</v>
      </c>
      <c r="E125" s="141"/>
    </row>
    <row r="126" spans="1:5" x14ac:dyDescent="0.25">
      <c r="A126" s="8" t="s">
        <v>4</v>
      </c>
      <c r="B126" s="10" t="s">
        <v>94</v>
      </c>
      <c r="C126" s="10"/>
      <c r="D126" s="11">
        <v>0</v>
      </c>
      <c r="E126" s="141"/>
    </row>
    <row r="127" spans="1:5" x14ac:dyDescent="0.25">
      <c r="A127" s="8" t="s">
        <v>6</v>
      </c>
      <c r="B127" s="10" t="s">
        <v>95</v>
      </c>
      <c r="C127" s="10"/>
      <c r="D127" s="11">
        <f>'equip jard'!G26</f>
        <v>31.200416666666662</v>
      </c>
      <c r="E127" s="141"/>
    </row>
    <row r="128" spans="1:5" x14ac:dyDescent="0.25">
      <c r="A128" s="8" t="s">
        <v>8</v>
      </c>
      <c r="B128" s="10" t="s">
        <v>96</v>
      </c>
      <c r="C128" s="10"/>
      <c r="D128" s="11">
        <f>'unif e EPI'!F22</f>
        <v>25.883333333333336</v>
      </c>
      <c r="E128" s="141"/>
    </row>
    <row r="129" spans="1:4" ht="12.75" customHeight="1" x14ac:dyDescent="0.25">
      <c r="A129" s="221" t="s">
        <v>56</v>
      </c>
      <c r="B129" s="221"/>
      <c r="C129" s="221"/>
      <c r="D129" s="12">
        <f>SUM(D125:D128)</f>
        <v>93.483750000000001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28.186835500000001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18.219970467200003</v>
      </c>
    </row>
    <row r="137" spans="1:4" x14ac:dyDescent="0.25">
      <c r="A137" s="8" t="s">
        <v>6</v>
      </c>
      <c r="B137" s="10" t="s">
        <v>101</v>
      </c>
      <c r="C137" s="14">
        <f>SUM(C138:C143)</f>
        <v>7.22E-2</v>
      </c>
      <c r="D137" s="11">
        <f>(D155+D135+D136)*C137/(1-C137)</f>
        <v>222.95702058722986</v>
      </c>
    </row>
    <row r="138" spans="1:4" x14ac:dyDescent="0.25">
      <c r="A138" s="8"/>
      <c r="B138" s="10" t="s">
        <v>102</v>
      </c>
      <c r="C138" s="16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12.35216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56.202328000000001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154.40200000000002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269.36382655442986</v>
      </c>
    </row>
    <row r="147" spans="1:4" x14ac:dyDescent="0.25">
      <c r="A147" s="222" t="s">
        <v>108</v>
      </c>
      <c r="B147" s="222"/>
      <c r="C147" s="222"/>
      <c r="D147" s="222"/>
    </row>
    <row r="149" spans="1:4" ht="12.75" customHeight="1" x14ac:dyDescent="0.25">
      <c r="A149" s="9"/>
      <c r="B149" s="221" t="s">
        <v>109</v>
      </c>
      <c r="C149" s="221"/>
      <c r="D149" s="9" t="s">
        <v>26</v>
      </c>
    </row>
    <row r="150" spans="1:4" ht="12.75" customHeight="1" x14ac:dyDescent="0.25">
      <c r="A150" s="9" t="s">
        <v>2</v>
      </c>
      <c r="B150" s="220" t="s">
        <v>24</v>
      </c>
      <c r="C150" s="220"/>
      <c r="D150" s="26">
        <f>D33</f>
        <v>1273.17</v>
      </c>
    </row>
    <row r="151" spans="1:4" ht="12.75" customHeight="1" x14ac:dyDescent="0.25">
      <c r="A151" s="9" t="s">
        <v>4</v>
      </c>
      <c r="B151" s="220" t="s">
        <v>36</v>
      </c>
      <c r="C151" s="220"/>
      <c r="D151" s="26">
        <f>D77</f>
        <v>1312.0798</v>
      </c>
    </row>
    <row r="152" spans="1:4" ht="12.75" customHeight="1" x14ac:dyDescent="0.25">
      <c r="A152" s="9" t="s">
        <v>6</v>
      </c>
      <c r="B152" s="220" t="s">
        <v>67</v>
      </c>
      <c r="C152" s="220"/>
      <c r="D152" s="26">
        <f>D89</f>
        <v>88.34</v>
      </c>
    </row>
    <row r="153" spans="1:4" ht="12.75" customHeight="1" x14ac:dyDescent="0.25">
      <c r="A153" s="9" t="s">
        <v>8</v>
      </c>
      <c r="B153" s="220" t="s">
        <v>75</v>
      </c>
      <c r="C153" s="220"/>
      <c r="D153" s="26">
        <f>D119</f>
        <v>51.61</v>
      </c>
    </row>
    <row r="154" spans="1:4" ht="12.75" customHeight="1" x14ac:dyDescent="0.25">
      <c r="A154" s="9" t="s">
        <v>31</v>
      </c>
      <c r="B154" s="220" t="s">
        <v>91</v>
      </c>
      <c r="C154" s="220"/>
      <c r="D154" s="26">
        <f>D129</f>
        <v>93.483750000000001</v>
      </c>
    </row>
    <row r="155" spans="1:4" ht="12.75" customHeight="1" x14ac:dyDescent="0.25">
      <c r="A155" s="221" t="s">
        <v>110</v>
      </c>
      <c r="B155" s="221"/>
      <c r="C155" s="221"/>
      <c r="D155" s="27">
        <f>SUM(D150:D154)</f>
        <v>2818.6835500000002</v>
      </c>
    </row>
    <row r="156" spans="1:4" ht="12.75" customHeight="1" x14ac:dyDescent="0.25">
      <c r="A156" s="9" t="s">
        <v>51</v>
      </c>
      <c r="B156" s="220" t="s">
        <v>111</v>
      </c>
      <c r="C156" s="220"/>
      <c r="D156" s="28">
        <f>D144</f>
        <v>269.36382655442986</v>
      </c>
    </row>
    <row r="157" spans="1:4" ht="12.75" customHeight="1" x14ac:dyDescent="0.25">
      <c r="A157" s="221" t="s">
        <v>112</v>
      </c>
      <c r="B157" s="221"/>
      <c r="C157" s="221"/>
      <c r="D157" s="27">
        <f>TRUNC(SUM(D155:D156),2)</f>
        <v>3088.04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3" t="s">
        <v>115</v>
      </c>
      <c r="B13" s="233"/>
      <c r="C13" s="81" t="s">
        <v>15</v>
      </c>
      <c r="D13" s="81">
        <v>4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115</v>
      </c>
      <c r="D17" s="229"/>
    </row>
    <row r="18" spans="1:4" x14ac:dyDescent="0.25">
      <c r="A18" s="81">
        <v>2</v>
      </c>
      <c r="B18" s="4" t="s">
        <v>19</v>
      </c>
      <c r="C18" s="229" t="s">
        <v>114</v>
      </c>
      <c r="D18" s="229"/>
    </row>
    <row r="19" spans="1:4" x14ac:dyDescent="0.25">
      <c r="A19" s="81">
        <v>3</v>
      </c>
      <c r="B19" s="4" t="s">
        <v>21</v>
      </c>
      <c r="C19" s="230">
        <v>1212.03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1212.03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1212.03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100.96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134.65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235.61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289.52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36.19</v>
      </c>
    </row>
    <row r="51" spans="1:4" x14ac:dyDescent="0.25">
      <c r="A51" s="8" t="s">
        <v>6</v>
      </c>
      <c r="B51" s="10" t="s">
        <v>48</v>
      </c>
      <c r="C51" s="17">
        <f>2.01%</f>
        <v>2.0099999999999996E-2</v>
      </c>
      <c r="D51" s="11">
        <f t="shared" si="0"/>
        <v>29.09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21.71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14.47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8.68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2.89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115.81</v>
      </c>
    </row>
    <row r="57" spans="1:4" ht="12.75" customHeight="1" x14ac:dyDescent="0.25">
      <c r="A57" s="221" t="s">
        <v>56</v>
      </c>
      <c r="B57" s="221"/>
      <c r="C57" s="18">
        <f>SUM(C49:C56)</f>
        <v>0.35810000000000003</v>
      </c>
      <c r="D57" s="15">
        <f>SUM(D49:D56)</f>
        <v>518.3599999999999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156.07820000000001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523.74819999999988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235.61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518.3599999999999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523.74819999999988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1277.7181999999998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TRUNC(((1/12)*5%),4)</f>
        <v>4.1000000000000003E-3</v>
      </c>
      <c r="D83" s="11">
        <f>TRUNC($D$33*C83,2)</f>
        <v>4.96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0.39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24.24</v>
      </c>
    </row>
    <row r="86" spans="1:5" x14ac:dyDescent="0.25">
      <c r="A86" s="8" t="s">
        <v>8</v>
      </c>
      <c r="B86" s="23" t="s">
        <v>72</v>
      </c>
      <c r="C86" s="161">
        <f>TRUNC(((7/30)/12)*95%,4)</f>
        <v>1.84E-2</v>
      </c>
      <c r="D86" s="11">
        <f>TRUNC($D$33*C86,2)</f>
        <v>22.3</v>
      </c>
    </row>
    <row r="87" spans="1:5" x14ac:dyDescent="0.25">
      <c r="A87" s="8" t="s">
        <v>31</v>
      </c>
      <c r="B87" s="23" t="s">
        <v>73</v>
      </c>
      <c r="C87" s="161">
        <f>C57</f>
        <v>0.35810000000000003</v>
      </c>
      <c r="D87" s="11">
        <f>TRUNC(D86*C87,2)</f>
        <v>7.98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24.24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84.11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</f>
        <v>9.1999999999999998E-3</v>
      </c>
      <c r="D98" s="11">
        <f t="shared" ref="D98:D103" si="1">TRUNC(($D$33+$D$77+$D$89)*C98,2)</f>
        <v>23.67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14.15</v>
      </c>
    </row>
    <row r="100" spans="1:6" x14ac:dyDescent="0.25">
      <c r="A100" s="8" t="s">
        <v>6</v>
      </c>
      <c r="B100" s="10" t="s">
        <v>81</v>
      </c>
      <c r="C100" s="16">
        <f>TRUNC(((5/30)/12)*2%,4)</f>
        <v>2.0000000000000001E-4</v>
      </c>
      <c r="D100" s="11">
        <f t="shared" si="1"/>
        <v>0.51</v>
      </c>
    </row>
    <row r="101" spans="1:6" x14ac:dyDescent="0.25">
      <c r="A101" s="8" t="s">
        <v>8</v>
      </c>
      <c r="B101" s="10" t="s">
        <v>82</v>
      </c>
      <c r="C101" s="16">
        <f>TRUNC(((15/30)/12)*8%,4)</f>
        <v>3.3E-3</v>
      </c>
      <c r="D101" s="11">
        <f t="shared" si="1"/>
        <v>8.49</v>
      </c>
    </row>
    <row r="102" spans="1:6" x14ac:dyDescent="0.25">
      <c r="A102" s="8" t="s">
        <v>31</v>
      </c>
      <c r="B102" s="10" t="s">
        <v>83</v>
      </c>
      <c r="C102" s="16">
        <f>((1+1/3)/12)*3%*(4/12)</f>
        <v>1.1111111111111109E-3</v>
      </c>
      <c r="D102" s="11">
        <f t="shared" si="1"/>
        <v>2.85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49.67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5" x14ac:dyDescent="0.25">
      <c r="A114" s="225" t="s">
        <v>89</v>
      </c>
      <c r="B114" s="225"/>
      <c r="C114" s="225"/>
      <c r="D114" s="225"/>
    </row>
    <row r="115" spans="1:5" x14ac:dyDescent="0.25">
      <c r="A115" s="13"/>
    </row>
    <row r="116" spans="1:5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5" ht="12.75" customHeight="1" x14ac:dyDescent="0.25">
      <c r="A117" s="8" t="s">
        <v>77</v>
      </c>
      <c r="B117" s="220" t="s">
        <v>78</v>
      </c>
      <c r="C117" s="220"/>
      <c r="D117" s="19">
        <f>D104</f>
        <v>49.67</v>
      </c>
    </row>
    <row r="118" spans="1:5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5" ht="12.75" customHeight="1" x14ac:dyDescent="0.25">
      <c r="A119" s="221" t="s">
        <v>35</v>
      </c>
      <c r="B119" s="221"/>
      <c r="C119" s="221"/>
      <c r="D119" s="15">
        <f>SUM(D117:D118)</f>
        <v>49.67</v>
      </c>
    </row>
    <row r="122" spans="1:5" x14ac:dyDescent="0.25">
      <c r="A122" s="222" t="s">
        <v>91</v>
      </c>
      <c r="B122" s="222"/>
      <c r="C122" s="222"/>
      <c r="D122" s="222"/>
    </row>
    <row r="124" spans="1:5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5" x14ac:dyDescent="0.25">
      <c r="A125" s="8" t="s">
        <v>2</v>
      </c>
      <c r="B125" s="10" t="s">
        <v>93</v>
      </c>
      <c r="C125" s="10"/>
      <c r="D125" s="11">
        <f>'unif e EPI'!F9</f>
        <v>36.4</v>
      </c>
      <c r="E125" s="146"/>
    </row>
    <row r="126" spans="1:5" x14ac:dyDescent="0.25">
      <c r="A126" s="8" t="s">
        <v>4</v>
      </c>
      <c r="B126" s="10" t="s">
        <v>94</v>
      </c>
      <c r="C126" s="10"/>
      <c r="D126" s="11">
        <v>0</v>
      </c>
      <c r="E126" s="146"/>
    </row>
    <row r="127" spans="1:5" x14ac:dyDescent="0.25">
      <c r="A127" s="8" t="s">
        <v>6</v>
      </c>
      <c r="B127" s="10" t="s">
        <v>95</v>
      </c>
      <c r="C127" s="10"/>
      <c r="D127" s="11">
        <f>'equip serv'!G11</f>
        <v>1.0014423076923078</v>
      </c>
      <c r="E127" s="146"/>
    </row>
    <row r="128" spans="1:5" x14ac:dyDescent="0.25">
      <c r="A128" s="8" t="s">
        <v>8</v>
      </c>
      <c r="B128" s="10" t="s">
        <v>96</v>
      </c>
      <c r="C128" s="10"/>
      <c r="D128" s="11">
        <f>'unif e EPI'!F22</f>
        <v>25.883333333333336</v>
      </c>
      <c r="E128" s="146"/>
    </row>
    <row r="129" spans="1:4" ht="12.75" customHeight="1" x14ac:dyDescent="0.25">
      <c r="A129" s="221" t="s">
        <v>56</v>
      </c>
      <c r="B129" s="221"/>
      <c r="C129" s="221"/>
      <c r="D129" s="12">
        <f>SUM(D125:D128)</f>
        <v>63.284775641025647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26.868129756410259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17.367559074543593</v>
      </c>
    </row>
    <row r="137" spans="1:4" x14ac:dyDescent="0.25">
      <c r="A137" s="8" t="s">
        <v>6</v>
      </c>
      <c r="B137" s="10" t="s">
        <v>101</v>
      </c>
      <c r="C137" s="14">
        <f>SUM(C138:C143)</f>
        <v>7.22E-2</v>
      </c>
      <c r="D137" s="11">
        <f>(D155+D135+D136)*C137/(1-C137)</f>
        <v>212.52609783884128</v>
      </c>
    </row>
    <row r="138" spans="1:4" x14ac:dyDescent="0.25">
      <c r="A138" s="8"/>
      <c r="B138" s="10" t="s">
        <v>102</v>
      </c>
      <c r="C138" s="16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11.774280000000001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53.572974000000002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147.17850000000001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256.76178666979513</v>
      </c>
    </row>
    <row r="147" spans="1:4" x14ac:dyDescent="0.25">
      <c r="A147" s="222" t="s">
        <v>108</v>
      </c>
      <c r="B147" s="222"/>
      <c r="C147" s="222"/>
      <c r="D147" s="222"/>
    </row>
    <row r="149" spans="1:4" ht="12.75" customHeight="1" x14ac:dyDescent="0.25">
      <c r="A149" s="9"/>
      <c r="B149" s="221" t="s">
        <v>109</v>
      </c>
      <c r="C149" s="221"/>
      <c r="D149" s="9" t="s">
        <v>26</v>
      </c>
    </row>
    <row r="150" spans="1:4" ht="12.75" customHeight="1" x14ac:dyDescent="0.25">
      <c r="A150" s="9" t="s">
        <v>2</v>
      </c>
      <c r="B150" s="220" t="s">
        <v>24</v>
      </c>
      <c r="C150" s="220"/>
      <c r="D150" s="26">
        <f>D33</f>
        <v>1212.03</v>
      </c>
    </row>
    <row r="151" spans="1:4" ht="12.75" customHeight="1" x14ac:dyDescent="0.25">
      <c r="A151" s="9" t="s">
        <v>4</v>
      </c>
      <c r="B151" s="220" t="s">
        <v>36</v>
      </c>
      <c r="C151" s="220"/>
      <c r="D151" s="26">
        <f>D77</f>
        <v>1277.7181999999998</v>
      </c>
    </row>
    <row r="152" spans="1:4" ht="12.75" customHeight="1" x14ac:dyDescent="0.25">
      <c r="A152" s="9" t="s">
        <v>6</v>
      </c>
      <c r="B152" s="220" t="s">
        <v>67</v>
      </c>
      <c r="C152" s="220"/>
      <c r="D152" s="26">
        <f>D89</f>
        <v>84.11</v>
      </c>
    </row>
    <row r="153" spans="1:4" ht="12.75" customHeight="1" x14ac:dyDescent="0.25">
      <c r="A153" s="9" t="s">
        <v>8</v>
      </c>
      <c r="B153" s="220" t="s">
        <v>75</v>
      </c>
      <c r="C153" s="220"/>
      <c r="D153" s="26">
        <f>D119</f>
        <v>49.67</v>
      </c>
    </row>
    <row r="154" spans="1:4" ht="12.75" customHeight="1" x14ac:dyDescent="0.25">
      <c r="A154" s="9" t="s">
        <v>31</v>
      </c>
      <c r="B154" s="220" t="s">
        <v>91</v>
      </c>
      <c r="C154" s="220"/>
      <c r="D154" s="26">
        <f>D129</f>
        <v>63.284775641025647</v>
      </c>
    </row>
    <row r="155" spans="1:4" ht="12.75" customHeight="1" x14ac:dyDescent="0.25">
      <c r="A155" s="221" t="s">
        <v>110</v>
      </c>
      <c r="B155" s="221"/>
      <c r="C155" s="221"/>
      <c r="D155" s="27">
        <f>SUM(D150:D154)</f>
        <v>2686.8129756410258</v>
      </c>
    </row>
    <row r="156" spans="1:4" ht="12.75" customHeight="1" x14ac:dyDescent="0.25">
      <c r="A156" s="9" t="s">
        <v>51</v>
      </c>
      <c r="B156" s="220" t="s">
        <v>111</v>
      </c>
      <c r="C156" s="220"/>
      <c r="D156" s="28">
        <f>D144</f>
        <v>256.76178666979513</v>
      </c>
    </row>
    <row r="157" spans="1:4" ht="12.75" customHeight="1" x14ac:dyDescent="0.25">
      <c r="A157" s="221" t="s">
        <v>112</v>
      </c>
      <c r="B157" s="221"/>
      <c r="C157" s="221"/>
      <c r="D157" s="27">
        <f>TRUNC(SUM(D155:D156),2)</f>
        <v>2943.57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8.855468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3" t="s">
        <v>116</v>
      </c>
      <c r="B13" s="233"/>
      <c r="C13" s="81" t="s">
        <v>15</v>
      </c>
      <c r="D13" s="81">
        <v>2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116</v>
      </c>
      <c r="D17" s="229"/>
    </row>
    <row r="18" spans="1:4" x14ac:dyDescent="0.25">
      <c r="A18" s="81">
        <v>2</v>
      </c>
      <c r="B18" s="4" t="s">
        <v>19</v>
      </c>
      <c r="C18" s="229" t="s">
        <v>117</v>
      </c>
      <c r="D18" s="229"/>
    </row>
    <row r="19" spans="1:4" x14ac:dyDescent="0.25">
      <c r="A19" s="81">
        <v>3</v>
      </c>
      <c r="B19" s="4" t="s">
        <v>21</v>
      </c>
      <c r="C19" s="230">
        <v>1668.21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1668.21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1668.21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138.96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185.33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324.29000000000002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398.5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49.81</v>
      </c>
    </row>
    <row r="51" spans="1:4" x14ac:dyDescent="0.25">
      <c r="A51" s="8" t="s">
        <v>6</v>
      </c>
      <c r="B51" s="10" t="s">
        <v>48</v>
      </c>
      <c r="C51" s="17">
        <f>2.01%</f>
        <v>2.0099999999999996E-2</v>
      </c>
      <c r="D51" s="11">
        <f t="shared" si="0"/>
        <v>40.04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29.88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19.920000000000002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11.95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3.98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159.4</v>
      </c>
    </row>
    <row r="57" spans="1:4" ht="12.75" customHeight="1" x14ac:dyDescent="0.25">
      <c r="A57" s="221" t="s">
        <v>56</v>
      </c>
      <c r="B57" s="221"/>
      <c r="C57" s="18">
        <f>SUM(C49:C56)</f>
        <v>0.35810000000000003</v>
      </c>
      <c r="D57" s="15">
        <f>SUM(D49:D56)</f>
        <v>713.48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128.70740000000001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496.37740000000002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324.29000000000002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713.48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496.37740000000002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1534.1474000000001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TRUNC(((1/12)*5%),4)</f>
        <v>4.1000000000000003E-3</v>
      </c>
      <c r="D83" s="11">
        <f>TRUNC($D$33*C83,2)</f>
        <v>6.83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0.54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33.36</v>
      </c>
    </row>
    <row r="86" spans="1:5" x14ac:dyDescent="0.25">
      <c r="A86" s="8" t="s">
        <v>8</v>
      </c>
      <c r="B86" s="23" t="s">
        <v>72</v>
      </c>
      <c r="C86" s="161">
        <f>TRUNC(((7/30)/12)*95%,4)</f>
        <v>1.84E-2</v>
      </c>
      <c r="D86" s="11">
        <f>TRUNC($D$33*C86,2)</f>
        <v>30.69</v>
      </c>
    </row>
    <row r="87" spans="1:5" x14ac:dyDescent="0.25">
      <c r="A87" s="8" t="s">
        <v>31</v>
      </c>
      <c r="B87" s="23" t="s">
        <v>73</v>
      </c>
      <c r="C87" s="161">
        <f>C57</f>
        <v>0.35810000000000003</v>
      </c>
      <c r="D87" s="11">
        <f>TRUNC(D86*C87,2)</f>
        <v>10.99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33.36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115.77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</f>
        <v>9.1999999999999998E-3</v>
      </c>
      <c r="D98" s="11">
        <f t="shared" ref="D98:D103" si="1">TRUNC(($D$33+$D$77+$D$89)*C98,2)</f>
        <v>30.52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18.239999999999998</v>
      </c>
    </row>
    <row r="100" spans="1:6" x14ac:dyDescent="0.25">
      <c r="A100" s="8" t="s">
        <v>6</v>
      </c>
      <c r="B100" s="10" t="s">
        <v>81</v>
      </c>
      <c r="C100" s="16">
        <f>TRUNC(((5/30)/12)*2%,4)</f>
        <v>2.0000000000000001E-4</v>
      </c>
      <c r="D100" s="11">
        <f t="shared" si="1"/>
        <v>0.66</v>
      </c>
    </row>
    <row r="101" spans="1:6" x14ac:dyDescent="0.25">
      <c r="A101" s="8" t="s">
        <v>8</v>
      </c>
      <c r="B101" s="10" t="s">
        <v>82</v>
      </c>
      <c r="C101" s="16">
        <f>TRUNC(((15/30)/12)*8%,4)</f>
        <v>3.3E-3</v>
      </c>
      <c r="D101" s="11">
        <f t="shared" si="1"/>
        <v>10.94</v>
      </c>
    </row>
    <row r="102" spans="1:6" x14ac:dyDescent="0.25">
      <c r="A102" s="8" t="s">
        <v>31</v>
      </c>
      <c r="B102" s="10" t="s">
        <v>83</v>
      </c>
      <c r="C102" s="16">
        <f>((1+1/3)/12)*3%*(4/12)</f>
        <v>1.1111111111111109E-3</v>
      </c>
      <c r="D102" s="11">
        <f t="shared" si="1"/>
        <v>3.68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64.039999999999992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5" x14ac:dyDescent="0.25">
      <c r="A114" s="225" t="s">
        <v>89</v>
      </c>
      <c r="B114" s="225"/>
      <c r="C114" s="225"/>
      <c r="D114" s="225"/>
    </row>
    <row r="115" spans="1:5" x14ac:dyDescent="0.25">
      <c r="A115" s="13"/>
    </row>
    <row r="116" spans="1:5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5" ht="12.75" customHeight="1" x14ac:dyDescent="0.25">
      <c r="A117" s="8" t="s">
        <v>77</v>
      </c>
      <c r="B117" s="220" t="s">
        <v>78</v>
      </c>
      <c r="C117" s="220"/>
      <c r="D117" s="19">
        <f>D104</f>
        <v>64.039999999999992</v>
      </c>
    </row>
    <row r="118" spans="1:5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5" ht="12.75" customHeight="1" x14ac:dyDescent="0.25">
      <c r="A119" s="221" t="s">
        <v>35</v>
      </c>
      <c r="B119" s="221"/>
      <c r="C119" s="221"/>
      <c r="D119" s="15">
        <f>SUM(D117:D118)</f>
        <v>64.039999999999992</v>
      </c>
    </row>
    <row r="122" spans="1:5" x14ac:dyDescent="0.25">
      <c r="A122" s="222" t="s">
        <v>91</v>
      </c>
      <c r="B122" s="222"/>
      <c r="C122" s="222"/>
      <c r="D122" s="222"/>
    </row>
    <row r="124" spans="1:5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5" x14ac:dyDescent="0.25">
      <c r="A125" s="8" t="s">
        <v>2</v>
      </c>
      <c r="B125" s="10" t="s">
        <v>93</v>
      </c>
      <c r="C125" s="10"/>
      <c r="D125" s="11">
        <f>'unif e EPI'!F9</f>
        <v>36.4</v>
      </c>
      <c r="E125" s="140"/>
    </row>
    <row r="126" spans="1:5" x14ac:dyDescent="0.25">
      <c r="A126" s="8" t="s">
        <v>4</v>
      </c>
      <c r="B126" s="10" t="s">
        <v>94</v>
      </c>
      <c r="C126" s="10"/>
      <c r="D126" s="11"/>
    </row>
    <row r="127" spans="1:5" x14ac:dyDescent="0.25">
      <c r="A127" s="8" t="s">
        <v>6</v>
      </c>
      <c r="B127" s="10" t="s">
        <v>95</v>
      </c>
      <c r="C127" s="10"/>
      <c r="D127" s="11"/>
    </row>
    <row r="128" spans="1:5" x14ac:dyDescent="0.25">
      <c r="A128" s="8" t="s">
        <v>8</v>
      </c>
      <c r="B128" s="10" t="s">
        <v>34</v>
      </c>
      <c r="C128" s="10"/>
      <c r="D128" s="11"/>
    </row>
    <row r="129" spans="1:4" ht="12.75" customHeight="1" x14ac:dyDescent="0.25">
      <c r="A129" s="221" t="s">
        <v>56</v>
      </c>
      <c r="B129" s="221"/>
      <c r="C129" s="221"/>
      <c r="D129" s="12">
        <f>SUM(D125:D128)</f>
        <v>36.4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34.185673999999999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22.097619673600001</v>
      </c>
    </row>
    <row r="137" spans="1:4" x14ac:dyDescent="0.25">
      <c r="A137" s="8" t="s">
        <v>6</v>
      </c>
      <c r="B137" s="10" t="s">
        <v>101</v>
      </c>
      <c r="C137" s="14">
        <f>SUM(C138:C143)</f>
        <v>7.22E-2</v>
      </c>
      <c r="D137" s="11">
        <f>(D155+D135+D136)*C137/(1-C137)</f>
        <v>270.40765260102813</v>
      </c>
    </row>
    <row r="138" spans="1:4" x14ac:dyDescent="0.25">
      <c r="A138" s="8"/>
      <c r="B138" s="10" t="s">
        <v>102</v>
      </c>
      <c r="C138" s="16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14.981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68.163550000000001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187.26250000000002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326.69094627462812</v>
      </c>
    </row>
    <row r="147" spans="1:4" x14ac:dyDescent="0.25">
      <c r="A147" s="222" t="s">
        <v>108</v>
      </c>
      <c r="B147" s="222"/>
      <c r="C147" s="222"/>
      <c r="D147" s="222"/>
    </row>
    <row r="149" spans="1:4" ht="12.75" customHeight="1" x14ac:dyDescent="0.25">
      <c r="A149" s="9"/>
      <c r="B149" s="221" t="s">
        <v>109</v>
      </c>
      <c r="C149" s="221"/>
      <c r="D149" s="9" t="s">
        <v>26</v>
      </c>
    </row>
    <row r="150" spans="1:4" ht="12.75" customHeight="1" x14ac:dyDescent="0.25">
      <c r="A150" s="9" t="s">
        <v>2</v>
      </c>
      <c r="B150" s="220" t="s">
        <v>24</v>
      </c>
      <c r="C150" s="220"/>
      <c r="D150" s="26">
        <f>D33</f>
        <v>1668.21</v>
      </c>
    </row>
    <row r="151" spans="1:4" ht="12.75" customHeight="1" x14ac:dyDescent="0.25">
      <c r="A151" s="9" t="s">
        <v>4</v>
      </c>
      <c r="B151" s="220" t="s">
        <v>36</v>
      </c>
      <c r="C151" s="220"/>
      <c r="D151" s="26">
        <f>D77</f>
        <v>1534.1474000000001</v>
      </c>
    </row>
    <row r="152" spans="1:4" ht="12.75" customHeight="1" x14ac:dyDescent="0.25">
      <c r="A152" s="9" t="s">
        <v>6</v>
      </c>
      <c r="B152" s="220" t="s">
        <v>67</v>
      </c>
      <c r="C152" s="220"/>
      <c r="D152" s="26">
        <f>D89</f>
        <v>115.77</v>
      </c>
    </row>
    <row r="153" spans="1:4" ht="12.75" customHeight="1" x14ac:dyDescent="0.25">
      <c r="A153" s="9" t="s">
        <v>8</v>
      </c>
      <c r="B153" s="220" t="s">
        <v>75</v>
      </c>
      <c r="C153" s="220"/>
      <c r="D153" s="26">
        <f>D119</f>
        <v>64.039999999999992</v>
      </c>
    </row>
    <row r="154" spans="1:4" ht="12.75" customHeight="1" x14ac:dyDescent="0.25">
      <c r="A154" s="9" t="s">
        <v>31</v>
      </c>
      <c r="B154" s="220" t="s">
        <v>91</v>
      </c>
      <c r="C154" s="220"/>
      <c r="D154" s="26">
        <f>D129</f>
        <v>36.4</v>
      </c>
    </row>
    <row r="155" spans="1:4" ht="12.75" customHeight="1" x14ac:dyDescent="0.25">
      <c r="A155" s="221" t="s">
        <v>110</v>
      </c>
      <c r="B155" s="221"/>
      <c r="C155" s="221"/>
      <c r="D155" s="27">
        <f>SUM(D150:D154)</f>
        <v>3418.5673999999999</v>
      </c>
    </row>
    <row r="156" spans="1:4" ht="12.75" customHeight="1" x14ac:dyDescent="0.25">
      <c r="A156" s="9" t="s">
        <v>51</v>
      </c>
      <c r="B156" s="220" t="s">
        <v>111</v>
      </c>
      <c r="C156" s="220"/>
      <c r="D156" s="28">
        <f>D144</f>
        <v>326.69094627462812</v>
      </c>
    </row>
    <row r="157" spans="1:4" ht="12.75" customHeight="1" x14ac:dyDescent="0.25">
      <c r="A157" s="221" t="s">
        <v>112</v>
      </c>
      <c r="B157" s="221"/>
      <c r="C157" s="221"/>
      <c r="D157" s="27">
        <f>TRUNC(SUM(D155:D156),2)</f>
        <v>3745.25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7.570312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3" t="s">
        <v>118</v>
      </c>
      <c r="B13" s="233"/>
      <c r="C13" s="81" t="s">
        <v>15</v>
      </c>
      <c r="D13" s="81">
        <v>1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118</v>
      </c>
      <c r="D17" s="229"/>
    </row>
    <row r="18" spans="1:4" x14ac:dyDescent="0.25">
      <c r="A18" s="81">
        <v>2</v>
      </c>
      <c r="B18" s="4" t="s">
        <v>19</v>
      </c>
      <c r="C18" s="229" t="s">
        <v>117</v>
      </c>
      <c r="D18" s="229"/>
    </row>
    <row r="19" spans="1:4" x14ac:dyDescent="0.25">
      <c r="A19" s="81">
        <v>3</v>
      </c>
      <c r="B19" s="4" t="s">
        <v>21</v>
      </c>
      <c r="C19" s="230">
        <v>1297.6199999999999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1297.6199999999999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1297.6199999999999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108.09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144.16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252.25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309.97000000000003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38.74</v>
      </c>
    </row>
    <row r="51" spans="1:4" x14ac:dyDescent="0.25">
      <c r="A51" s="8" t="s">
        <v>6</v>
      </c>
      <c r="B51" s="10" t="s">
        <v>48</v>
      </c>
      <c r="C51" s="17">
        <f>2.01%</f>
        <v>2.0099999999999996E-2</v>
      </c>
      <c r="D51" s="11">
        <f t="shared" si="0"/>
        <v>31.15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23.24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15.49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9.2899999999999991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3.09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123.98</v>
      </c>
    </row>
    <row r="57" spans="1:4" ht="12.75" customHeight="1" x14ac:dyDescent="0.25">
      <c r="A57" s="221" t="s">
        <v>56</v>
      </c>
      <c r="B57" s="221"/>
      <c r="C57" s="18">
        <f>SUM(C49:C56)</f>
        <v>0.35810000000000003</v>
      </c>
      <c r="D57" s="15">
        <f>SUM(D49:D56)</f>
        <v>554.95000000000005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150.94280000000003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518.61279999999999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252.25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554.95000000000005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518.61279999999999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1325.8128000000002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TRUNC(((1/12)*5%),4)</f>
        <v>4.1000000000000003E-3</v>
      </c>
      <c r="D83" s="11">
        <f>TRUNC($D$33*C83,2)</f>
        <v>5.32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0.42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25.95</v>
      </c>
    </row>
    <row r="86" spans="1:5" x14ac:dyDescent="0.25">
      <c r="A86" s="8" t="s">
        <v>8</v>
      </c>
      <c r="B86" s="23" t="s">
        <v>72</v>
      </c>
      <c r="C86" s="161">
        <f>TRUNC(((7/30)/12)*95%,4)</f>
        <v>1.84E-2</v>
      </c>
      <c r="D86" s="11">
        <f>TRUNC($D$33*C86,2)</f>
        <v>23.87</v>
      </c>
    </row>
    <row r="87" spans="1:5" x14ac:dyDescent="0.25">
      <c r="A87" s="8" t="s">
        <v>31</v>
      </c>
      <c r="B87" s="23" t="s">
        <v>73</v>
      </c>
      <c r="C87" s="161">
        <f>C57</f>
        <v>0.35810000000000003</v>
      </c>
      <c r="D87" s="11">
        <f>TRUNC(D86*C87,2)</f>
        <v>8.5399999999999991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25.95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90.05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</f>
        <v>9.1999999999999998E-3</v>
      </c>
      <c r="D98" s="11">
        <f t="shared" ref="D98:D103" si="1">TRUNC(($D$33+$D$77+$D$89)*C98,2)</f>
        <v>24.96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14.92</v>
      </c>
    </row>
    <row r="100" spans="1:6" x14ac:dyDescent="0.25">
      <c r="A100" s="8" t="s">
        <v>6</v>
      </c>
      <c r="B100" s="10" t="s">
        <v>81</v>
      </c>
      <c r="C100" s="16">
        <f>TRUNC(((5/30)/12)*2%,4)</f>
        <v>2.0000000000000001E-4</v>
      </c>
      <c r="D100" s="11">
        <f t="shared" si="1"/>
        <v>0.54</v>
      </c>
    </row>
    <row r="101" spans="1:6" x14ac:dyDescent="0.25">
      <c r="A101" s="8" t="s">
        <v>8</v>
      </c>
      <c r="B101" s="10" t="s">
        <v>82</v>
      </c>
      <c r="C101" s="16">
        <f>TRUNC(((15/30)/12)*8%,4)</f>
        <v>3.3E-3</v>
      </c>
      <c r="D101" s="11">
        <f t="shared" si="1"/>
        <v>8.9499999999999993</v>
      </c>
    </row>
    <row r="102" spans="1:6" x14ac:dyDescent="0.25">
      <c r="A102" s="8" t="s">
        <v>31</v>
      </c>
      <c r="B102" s="10" t="s">
        <v>83</v>
      </c>
      <c r="C102" s="16">
        <f>((1+1/3)/12)*3%*(4/12)</f>
        <v>1.1111111111111109E-3</v>
      </c>
      <c r="D102" s="11">
        <f t="shared" si="1"/>
        <v>3.01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52.38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5" x14ac:dyDescent="0.25">
      <c r="A114" s="225" t="s">
        <v>89</v>
      </c>
      <c r="B114" s="225"/>
      <c r="C114" s="225"/>
      <c r="D114" s="225"/>
    </row>
    <row r="115" spans="1:5" x14ac:dyDescent="0.25">
      <c r="A115" s="13"/>
    </row>
    <row r="116" spans="1:5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5" ht="12.75" customHeight="1" x14ac:dyDescent="0.25">
      <c r="A117" s="8" t="s">
        <v>77</v>
      </c>
      <c r="B117" s="220" t="s">
        <v>78</v>
      </c>
      <c r="C117" s="220"/>
      <c r="D117" s="19">
        <f>D104</f>
        <v>52.38</v>
      </c>
    </row>
    <row r="118" spans="1:5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5" ht="12.75" customHeight="1" x14ac:dyDescent="0.25">
      <c r="A119" s="221" t="s">
        <v>35</v>
      </c>
      <c r="B119" s="221"/>
      <c r="C119" s="221"/>
      <c r="D119" s="15">
        <f>SUM(D117:D118)</f>
        <v>52.38</v>
      </c>
    </row>
    <row r="122" spans="1:5" x14ac:dyDescent="0.25">
      <c r="A122" s="222" t="s">
        <v>91</v>
      </c>
      <c r="B122" s="222"/>
      <c r="C122" s="222"/>
      <c r="D122" s="222"/>
    </row>
    <row r="124" spans="1:5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5" x14ac:dyDescent="0.25">
      <c r="A125" s="8" t="s">
        <v>2</v>
      </c>
      <c r="B125" s="10" t="s">
        <v>93</v>
      </c>
      <c r="C125" s="10"/>
      <c r="D125" s="11">
        <f>'unif e EPI'!F9</f>
        <v>36.4</v>
      </c>
      <c r="E125" s="141"/>
    </row>
    <row r="126" spans="1:5" x14ac:dyDescent="0.25">
      <c r="A126" s="8" t="s">
        <v>4</v>
      </c>
      <c r="B126" s="10" t="s">
        <v>94</v>
      </c>
      <c r="C126" s="10"/>
      <c r="D126" s="11"/>
    </row>
    <row r="127" spans="1:5" x14ac:dyDescent="0.25">
      <c r="A127" s="8" t="s">
        <v>6</v>
      </c>
      <c r="B127" s="10" t="s">
        <v>95</v>
      </c>
      <c r="C127" s="10"/>
      <c r="D127" s="11"/>
    </row>
    <row r="128" spans="1:5" x14ac:dyDescent="0.25">
      <c r="A128" s="8" t="s">
        <v>8</v>
      </c>
      <c r="B128" s="10" t="s">
        <v>34</v>
      </c>
      <c r="C128" s="10"/>
      <c r="D128" s="11"/>
    </row>
    <row r="129" spans="1:4" ht="12.75" customHeight="1" x14ac:dyDescent="0.25">
      <c r="A129" s="221" t="s">
        <v>56</v>
      </c>
      <c r="B129" s="221"/>
      <c r="C129" s="221"/>
      <c r="D129" s="12">
        <f>SUM(D125:D128)</f>
        <v>36.4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28.022628000000005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18.113826739200004</v>
      </c>
    </row>
    <row r="137" spans="1:4" x14ac:dyDescent="0.25">
      <c r="A137" s="8" t="s">
        <v>6</v>
      </c>
      <c r="B137" s="10" t="s">
        <v>101</v>
      </c>
      <c r="C137" s="14">
        <f>SUM(C138:C143)</f>
        <v>7.22E-2</v>
      </c>
      <c r="D137" s="11">
        <f>(D155+D135+D136)*C137/(1-C137)</f>
        <v>221.65814420367565</v>
      </c>
    </row>
    <row r="138" spans="1:4" x14ac:dyDescent="0.25">
      <c r="A138" s="8"/>
      <c r="B138" s="10" t="s">
        <v>102</v>
      </c>
      <c r="C138" s="16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12.280200000000001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55.874910000000007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153.50250000000003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267.79459894287567</v>
      </c>
    </row>
    <row r="147" spans="1:4" x14ac:dyDescent="0.25">
      <c r="A147" s="222" t="s">
        <v>108</v>
      </c>
      <c r="B147" s="222"/>
      <c r="C147" s="222"/>
      <c r="D147" s="222"/>
    </row>
    <row r="149" spans="1:4" ht="12.75" customHeight="1" x14ac:dyDescent="0.25">
      <c r="A149" s="9"/>
      <c r="B149" s="221" t="s">
        <v>109</v>
      </c>
      <c r="C149" s="221"/>
      <c r="D149" s="9" t="s">
        <v>26</v>
      </c>
    </row>
    <row r="150" spans="1:4" ht="12.75" customHeight="1" x14ac:dyDescent="0.25">
      <c r="A150" s="9" t="s">
        <v>2</v>
      </c>
      <c r="B150" s="220" t="s">
        <v>24</v>
      </c>
      <c r="C150" s="220"/>
      <c r="D150" s="26">
        <f>D33</f>
        <v>1297.6199999999999</v>
      </c>
    </row>
    <row r="151" spans="1:4" ht="12.75" customHeight="1" x14ac:dyDescent="0.25">
      <c r="A151" s="9" t="s">
        <v>4</v>
      </c>
      <c r="B151" s="220" t="s">
        <v>36</v>
      </c>
      <c r="C151" s="220"/>
      <c r="D151" s="26">
        <f>D77</f>
        <v>1325.8128000000002</v>
      </c>
    </row>
    <row r="152" spans="1:4" ht="12.75" customHeight="1" x14ac:dyDescent="0.25">
      <c r="A152" s="9" t="s">
        <v>6</v>
      </c>
      <c r="B152" s="220" t="s">
        <v>67</v>
      </c>
      <c r="C152" s="220"/>
      <c r="D152" s="26">
        <f>D89</f>
        <v>90.05</v>
      </c>
    </row>
    <row r="153" spans="1:4" ht="12.75" customHeight="1" x14ac:dyDescent="0.25">
      <c r="A153" s="9" t="s">
        <v>8</v>
      </c>
      <c r="B153" s="220" t="s">
        <v>75</v>
      </c>
      <c r="C153" s="220"/>
      <c r="D153" s="26">
        <f>D119</f>
        <v>52.38</v>
      </c>
    </row>
    <row r="154" spans="1:4" ht="12.75" customHeight="1" x14ac:dyDescent="0.25">
      <c r="A154" s="9" t="s">
        <v>31</v>
      </c>
      <c r="B154" s="220" t="s">
        <v>91</v>
      </c>
      <c r="C154" s="220"/>
      <c r="D154" s="26">
        <f>D129</f>
        <v>36.4</v>
      </c>
    </row>
    <row r="155" spans="1:4" ht="12.75" customHeight="1" x14ac:dyDescent="0.25">
      <c r="A155" s="221" t="s">
        <v>110</v>
      </c>
      <c r="B155" s="221"/>
      <c r="C155" s="221"/>
      <c r="D155" s="27">
        <f>SUM(D150:D154)</f>
        <v>2802.2628000000004</v>
      </c>
    </row>
    <row r="156" spans="1:4" ht="12.75" customHeight="1" x14ac:dyDescent="0.25">
      <c r="A156" s="9" t="s">
        <v>51</v>
      </c>
      <c r="B156" s="220" t="s">
        <v>111</v>
      </c>
      <c r="C156" s="220"/>
      <c r="D156" s="28">
        <f>D144</f>
        <v>267.79459894287567</v>
      </c>
    </row>
    <row r="157" spans="1:4" ht="12.75" customHeight="1" x14ac:dyDescent="0.25">
      <c r="A157" s="221" t="s">
        <v>112</v>
      </c>
      <c r="B157" s="221"/>
      <c r="C157" s="221"/>
      <c r="D157" s="27">
        <f>TRUNC(SUM(D155:D156),2)</f>
        <v>3070.05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sqref="A1:D1"/>
    </sheetView>
  </sheetViews>
  <sheetFormatPr defaultColWidth="9.140625" defaultRowHeight="15" x14ac:dyDescent="0.25"/>
  <cols>
    <col min="1" max="1" width="9.140625" style="1"/>
    <col min="2" max="2" width="66" style="1" customWidth="1"/>
    <col min="3" max="3" width="18" style="1" customWidth="1"/>
    <col min="4" max="4" width="21.42578125" style="1" customWidth="1"/>
    <col min="5" max="5" width="9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231" t="s">
        <v>0</v>
      </c>
      <c r="B1" s="231"/>
      <c r="C1" s="231"/>
      <c r="D1" s="231"/>
    </row>
    <row r="2" spans="1:4" ht="15.75" x14ac:dyDescent="0.25">
      <c r="A2" s="2"/>
      <c r="B2" s="2"/>
      <c r="C2" s="2"/>
      <c r="D2" s="2"/>
    </row>
    <row r="3" spans="1:4" x14ac:dyDescent="0.25">
      <c r="A3" s="222" t="s">
        <v>1</v>
      </c>
      <c r="B3" s="222"/>
      <c r="C3" s="222"/>
      <c r="D3" s="222"/>
    </row>
    <row r="4" spans="1:4" x14ac:dyDescent="0.25">
      <c r="A4" s="3"/>
      <c r="B4" s="3"/>
      <c r="C4" s="3"/>
      <c r="D4" s="3"/>
    </row>
    <row r="5" spans="1:4" x14ac:dyDescent="0.25">
      <c r="A5" s="81" t="s">
        <v>2</v>
      </c>
      <c r="B5" s="5" t="s">
        <v>3</v>
      </c>
      <c r="C5" s="6"/>
      <c r="D5" s="82">
        <v>44743</v>
      </c>
    </row>
    <row r="6" spans="1:4" x14ac:dyDescent="0.25">
      <c r="A6" s="81" t="s">
        <v>4</v>
      </c>
      <c r="B6" s="5" t="s">
        <v>5</v>
      </c>
      <c r="C6" s="6"/>
      <c r="D6" s="7"/>
    </row>
    <row r="7" spans="1:4" x14ac:dyDescent="0.25">
      <c r="A7" s="81" t="s">
        <v>6</v>
      </c>
      <c r="B7" s="5" t="s">
        <v>7</v>
      </c>
      <c r="C7" s="6"/>
      <c r="D7" s="7">
        <v>2022</v>
      </c>
    </row>
    <row r="8" spans="1:4" x14ac:dyDescent="0.25">
      <c r="A8" s="81" t="s">
        <v>8</v>
      </c>
      <c r="B8" s="5" t="s">
        <v>9</v>
      </c>
      <c r="C8" s="6"/>
      <c r="D8" s="7">
        <v>24</v>
      </c>
    </row>
    <row r="10" spans="1:4" x14ac:dyDescent="0.25">
      <c r="A10" s="222" t="s">
        <v>10</v>
      </c>
      <c r="B10" s="222"/>
      <c r="C10" s="222"/>
      <c r="D10" s="222"/>
    </row>
    <row r="11" spans="1:4" x14ac:dyDescent="0.25">
      <c r="A11" s="3"/>
      <c r="B11" s="3"/>
      <c r="C11" s="3"/>
      <c r="D11" s="3"/>
    </row>
    <row r="12" spans="1:4" ht="38.25" customHeight="1" x14ac:dyDescent="0.25">
      <c r="A12" s="232" t="s">
        <v>11</v>
      </c>
      <c r="B12" s="232"/>
      <c r="C12" s="8" t="s">
        <v>12</v>
      </c>
      <c r="D12" s="73" t="s">
        <v>13</v>
      </c>
    </row>
    <row r="13" spans="1:4" x14ac:dyDescent="0.25">
      <c r="A13" s="234" t="s">
        <v>257</v>
      </c>
      <c r="B13" s="235"/>
      <c r="C13" s="81" t="s">
        <v>15</v>
      </c>
      <c r="D13" s="81">
        <v>10</v>
      </c>
    </row>
    <row r="15" spans="1:4" x14ac:dyDescent="0.25">
      <c r="A15" s="222" t="s">
        <v>16</v>
      </c>
      <c r="B15" s="222"/>
      <c r="C15" s="222"/>
      <c r="D15" s="222"/>
    </row>
    <row r="16" spans="1:4" x14ac:dyDescent="0.25">
      <c r="A16" s="3"/>
      <c r="B16" s="3"/>
      <c r="C16" s="3"/>
      <c r="D16" s="3"/>
    </row>
    <row r="17" spans="1:4" x14ac:dyDescent="0.25">
      <c r="A17" s="81">
        <v>1</v>
      </c>
      <c r="B17" s="4" t="s">
        <v>17</v>
      </c>
      <c r="C17" s="229" t="s">
        <v>18</v>
      </c>
      <c r="D17" s="229"/>
    </row>
    <row r="18" spans="1:4" x14ac:dyDescent="0.25">
      <c r="A18" s="81">
        <v>2</v>
      </c>
      <c r="B18" s="4" t="s">
        <v>19</v>
      </c>
      <c r="C18" s="229" t="s">
        <v>20</v>
      </c>
      <c r="D18" s="229"/>
    </row>
    <row r="19" spans="1:4" x14ac:dyDescent="0.25">
      <c r="A19" s="81">
        <v>3</v>
      </c>
      <c r="B19" s="4" t="s">
        <v>21</v>
      </c>
      <c r="C19" s="230">
        <v>1212.03</v>
      </c>
      <c r="D19" s="230"/>
    </row>
    <row r="20" spans="1:4" x14ac:dyDescent="0.25">
      <c r="A20" s="81">
        <v>4</v>
      </c>
      <c r="B20" s="4" t="s">
        <v>22</v>
      </c>
      <c r="C20" s="229" t="s">
        <v>256</v>
      </c>
      <c r="D20" s="229"/>
    </row>
    <row r="21" spans="1:4" x14ac:dyDescent="0.25">
      <c r="A21" s="81">
        <v>5</v>
      </c>
      <c r="B21" s="4" t="s">
        <v>23</v>
      </c>
      <c r="C21" s="228">
        <v>44562</v>
      </c>
      <c r="D21" s="228"/>
    </row>
    <row r="23" spans="1:4" x14ac:dyDescent="0.25">
      <c r="A23" s="222" t="s">
        <v>24</v>
      </c>
      <c r="B23" s="222"/>
      <c r="C23" s="222"/>
      <c r="D23" s="222"/>
    </row>
    <row r="25" spans="1:4" ht="12.75" customHeight="1" x14ac:dyDescent="0.25">
      <c r="A25" s="9">
        <v>1</v>
      </c>
      <c r="B25" s="221" t="s">
        <v>25</v>
      </c>
      <c r="C25" s="221"/>
      <c r="D25" s="9" t="s">
        <v>26</v>
      </c>
    </row>
    <row r="26" spans="1:4" ht="12.75" customHeight="1" x14ac:dyDescent="0.25">
      <c r="A26" s="8" t="s">
        <v>2</v>
      </c>
      <c r="B26" s="220" t="s">
        <v>27</v>
      </c>
      <c r="C26" s="220"/>
      <c r="D26" s="11">
        <v>1212.03</v>
      </c>
    </row>
    <row r="27" spans="1:4" ht="12.75" customHeight="1" x14ac:dyDescent="0.25">
      <c r="A27" s="8" t="s">
        <v>4</v>
      </c>
      <c r="B27" s="220" t="s">
        <v>28</v>
      </c>
      <c r="C27" s="220"/>
      <c r="D27" s="11"/>
    </row>
    <row r="28" spans="1:4" ht="12.75" customHeight="1" x14ac:dyDescent="0.25">
      <c r="A28" s="8" t="s">
        <v>6</v>
      </c>
      <c r="B28" s="220" t="s">
        <v>29</v>
      </c>
      <c r="C28" s="220"/>
      <c r="D28" s="11"/>
    </row>
    <row r="29" spans="1:4" ht="12.75" customHeight="1" x14ac:dyDescent="0.25">
      <c r="A29" s="8" t="s">
        <v>8</v>
      </c>
      <c r="B29" s="220" t="s">
        <v>30</v>
      </c>
      <c r="C29" s="220"/>
      <c r="D29" s="11"/>
    </row>
    <row r="30" spans="1:4" ht="12.75" customHeight="1" x14ac:dyDescent="0.25">
      <c r="A30" s="8" t="s">
        <v>31</v>
      </c>
      <c r="B30" s="220" t="s">
        <v>32</v>
      </c>
      <c r="C30" s="220"/>
      <c r="D30" s="11"/>
    </row>
    <row r="31" spans="1:4" x14ac:dyDescent="0.25">
      <c r="A31" s="8"/>
      <c r="B31" s="220"/>
      <c r="C31" s="220"/>
      <c r="D31" s="11"/>
    </row>
    <row r="32" spans="1:4" ht="12.75" customHeight="1" x14ac:dyDescent="0.25">
      <c r="A32" s="8" t="s">
        <v>33</v>
      </c>
      <c r="B32" s="220" t="s">
        <v>34</v>
      </c>
      <c r="C32" s="220"/>
      <c r="D32" s="11"/>
    </row>
    <row r="33" spans="1:4" ht="12.75" customHeight="1" x14ac:dyDescent="0.25">
      <c r="A33" s="221" t="s">
        <v>35</v>
      </c>
      <c r="B33" s="221"/>
      <c r="C33" s="221"/>
      <c r="D33" s="12">
        <f>SUM(D26:D32)</f>
        <v>1212.03</v>
      </c>
    </row>
    <row r="36" spans="1:4" x14ac:dyDescent="0.25">
      <c r="A36" s="222" t="s">
        <v>36</v>
      </c>
      <c r="B36" s="222"/>
      <c r="C36" s="222"/>
      <c r="D36" s="222"/>
    </row>
    <row r="37" spans="1:4" x14ac:dyDescent="0.25">
      <c r="A37" s="13"/>
    </row>
    <row r="38" spans="1:4" x14ac:dyDescent="0.25">
      <c r="A38" s="225" t="s">
        <v>37</v>
      </c>
      <c r="B38" s="225"/>
      <c r="C38" s="225"/>
      <c r="D38" s="225"/>
    </row>
    <row r="40" spans="1:4" ht="12.75" customHeight="1" x14ac:dyDescent="0.25">
      <c r="A40" s="9" t="s">
        <v>38</v>
      </c>
      <c r="B40" s="221" t="s">
        <v>39</v>
      </c>
      <c r="C40" s="221"/>
      <c r="D40" s="9" t="s">
        <v>26</v>
      </c>
    </row>
    <row r="41" spans="1:4" x14ac:dyDescent="0.25">
      <c r="A41" s="8" t="s">
        <v>2</v>
      </c>
      <c r="B41" s="10" t="s">
        <v>40</v>
      </c>
      <c r="C41" s="14">
        <f>TRUNC(1/12,4)</f>
        <v>8.3299999999999999E-2</v>
      </c>
      <c r="D41" s="11">
        <f>TRUNC($D$33*C41,2)</f>
        <v>100.96</v>
      </c>
    </row>
    <row r="42" spans="1:4" x14ac:dyDescent="0.25">
      <c r="A42" s="8" t="s">
        <v>4</v>
      </c>
      <c r="B42" s="10" t="s">
        <v>41</v>
      </c>
      <c r="C42" s="14">
        <f>TRUNC(((1+1/3)/12),4)</f>
        <v>0.1111</v>
      </c>
      <c r="D42" s="11">
        <f>TRUNC($D$33*C42,2)</f>
        <v>134.65</v>
      </c>
    </row>
    <row r="43" spans="1:4" ht="12.75" customHeight="1" x14ac:dyDescent="0.25">
      <c r="A43" s="221" t="s">
        <v>35</v>
      </c>
      <c r="B43" s="221"/>
      <c r="C43" s="83">
        <f>SUM(C41:C42)</f>
        <v>0.19440000000000002</v>
      </c>
      <c r="D43" s="15">
        <f>SUM(D41:D42)</f>
        <v>235.61</v>
      </c>
    </row>
    <row r="46" spans="1:4" ht="12.75" customHeight="1" x14ac:dyDescent="0.25">
      <c r="A46" s="227" t="s">
        <v>42</v>
      </c>
      <c r="B46" s="227"/>
      <c r="C46" s="227"/>
      <c r="D46" s="227"/>
    </row>
    <row r="48" spans="1:4" x14ac:dyDescent="0.25">
      <c r="A48" s="9" t="s">
        <v>43</v>
      </c>
      <c r="B48" s="9" t="s">
        <v>44</v>
      </c>
      <c r="C48" s="9" t="s">
        <v>45</v>
      </c>
      <c r="D48" s="9" t="s">
        <v>26</v>
      </c>
    </row>
    <row r="49" spans="1:4" x14ac:dyDescent="0.25">
      <c r="A49" s="8" t="s">
        <v>2</v>
      </c>
      <c r="B49" s="10" t="s">
        <v>46</v>
      </c>
      <c r="C49" s="16">
        <v>0.2</v>
      </c>
      <c r="D49" s="11">
        <f t="shared" ref="D49:D56" si="0">TRUNC(($D$33+$D$43)*C49,2)</f>
        <v>289.52</v>
      </c>
    </row>
    <row r="50" spans="1:4" x14ac:dyDescent="0.25">
      <c r="A50" s="8" t="s">
        <v>4</v>
      </c>
      <c r="B50" s="10" t="s">
        <v>47</v>
      </c>
      <c r="C50" s="16">
        <v>2.5000000000000001E-2</v>
      </c>
      <c r="D50" s="11">
        <f t="shared" si="0"/>
        <v>36.19</v>
      </c>
    </row>
    <row r="51" spans="1:4" x14ac:dyDescent="0.25">
      <c r="A51" s="8" t="s">
        <v>6</v>
      </c>
      <c r="B51" s="10" t="s">
        <v>48</v>
      </c>
      <c r="C51" s="17">
        <f>2%*1.0074</f>
        <v>2.0148000000000003E-2</v>
      </c>
      <c r="D51" s="11">
        <f t="shared" si="0"/>
        <v>29.16</v>
      </c>
    </row>
    <row r="52" spans="1:4" x14ac:dyDescent="0.25">
      <c r="A52" s="8" t="s">
        <v>8</v>
      </c>
      <c r="B52" s="10" t="s">
        <v>49</v>
      </c>
      <c r="C52" s="16">
        <v>1.4999999999999999E-2</v>
      </c>
      <c r="D52" s="11">
        <f t="shared" si="0"/>
        <v>21.71</v>
      </c>
    </row>
    <row r="53" spans="1:4" x14ac:dyDescent="0.25">
      <c r="A53" s="8" t="s">
        <v>31</v>
      </c>
      <c r="B53" s="10" t="s">
        <v>50</v>
      </c>
      <c r="C53" s="16">
        <v>0.01</v>
      </c>
      <c r="D53" s="11">
        <f t="shared" si="0"/>
        <v>14.47</v>
      </c>
    </row>
    <row r="54" spans="1:4" x14ac:dyDescent="0.25">
      <c r="A54" s="8" t="s">
        <v>51</v>
      </c>
      <c r="B54" s="10" t="s">
        <v>52</v>
      </c>
      <c r="C54" s="16">
        <v>6.0000000000000001E-3</v>
      </c>
      <c r="D54" s="11">
        <f t="shared" si="0"/>
        <v>8.68</v>
      </c>
    </row>
    <row r="55" spans="1:4" x14ac:dyDescent="0.25">
      <c r="A55" s="8" t="s">
        <v>33</v>
      </c>
      <c r="B55" s="10" t="s">
        <v>53</v>
      </c>
      <c r="C55" s="16">
        <v>2E-3</v>
      </c>
      <c r="D55" s="11">
        <f t="shared" si="0"/>
        <v>2.89</v>
      </c>
    </row>
    <row r="56" spans="1:4" x14ac:dyDescent="0.25">
      <c r="A56" s="8" t="s">
        <v>54</v>
      </c>
      <c r="B56" s="10" t="s">
        <v>55</v>
      </c>
      <c r="C56" s="16">
        <v>0.08</v>
      </c>
      <c r="D56" s="11">
        <f t="shared" si="0"/>
        <v>115.81</v>
      </c>
    </row>
    <row r="57" spans="1:4" ht="12.75" customHeight="1" x14ac:dyDescent="0.25">
      <c r="A57" s="221" t="s">
        <v>56</v>
      </c>
      <c r="B57" s="221"/>
      <c r="C57" s="18">
        <f>SUM(C49:C56)</f>
        <v>0.35814800000000002</v>
      </c>
      <c r="D57" s="15">
        <f>SUM(D49:D56)</f>
        <v>518.43000000000006</v>
      </c>
    </row>
    <row r="60" spans="1:4" x14ac:dyDescent="0.25">
      <c r="A60" s="225" t="s">
        <v>57</v>
      </c>
      <c r="B60" s="225"/>
      <c r="C60" s="225"/>
      <c r="D60" s="225"/>
    </row>
    <row r="62" spans="1:4" ht="12.75" customHeight="1" x14ac:dyDescent="0.25">
      <c r="A62" s="9" t="s">
        <v>58</v>
      </c>
      <c r="B62" s="226" t="s">
        <v>59</v>
      </c>
      <c r="C62" s="226"/>
      <c r="D62" s="9" t="s">
        <v>26</v>
      </c>
    </row>
    <row r="63" spans="1:4" ht="12.75" customHeight="1" x14ac:dyDescent="0.25">
      <c r="A63" s="8" t="s">
        <v>2</v>
      </c>
      <c r="B63" s="220" t="s">
        <v>60</v>
      </c>
      <c r="C63" s="220"/>
      <c r="D63" s="11">
        <f>(26*2*4.4)-(D26*0.06)</f>
        <v>156.07820000000001</v>
      </c>
    </row>
    <row r="64" spans="1:4" ht="12.75" customHeight="1" x14ac:dyDescent="0.25">
      <c r="A64" s="8" t="s">
        <v>4</v>
      </c>
      <c r="B64" s="220" t="s">
        <v>61</v>
      </c>
      <c r="C64" s="220"/>
      <c r="D64" s="11">
        <f>(13.1*0.8)*22</f>
        <v>230.56</v>
      </c>
    </row>
    <row r="65" spans="1:5" ht="12.75" customHeight="1" x14ac:dyDescent="0.25">
      <c r="A65" s="8" t="s">
        <v>6</v>
      </c>
      <c r="B65" s="220" t="s">
        <v>62</v>
      </c>
      <c r="C65" s="220"/>
      <c r="D65" s="11">
        <v>122.19</v>
      </c>
    </row>
    <row r="66" spans="1:5" ht="12.75" customHeight="1" x14ac:dyDescent="0.25">
      <c r="A66" s="8" t="s">
        <v>8</v>
      </c>
      <c r="B66" s="220" t="s">
        <v>63</v>
      </c>
      <c r="C66" s="220"/>
      <c r="D66" s="11">
        <v>11.11</v>
      </c>
    </row>
    <row r="67" spans="1:5" ht="12.75" customHeight="1" x14ac:dyDescent="0.25">
      <c r="A67" s="8" t="s">
        <v>31</v>
      </c>
      <c r="B67" s="220" t="s">
        <v>64</v>
      </c>
      <c r="C67" s="220"/>
      <c r="D67" s="11">
        <v>3.81</v>
      </c>
    </row>
    <row r="68" spans="1:5" ht="12.75" customHeight="1" x14ac:dyDescent="0.25">
      <c r="A68" s="221" t="s">
        <v>35</v>
      </c>
      <c r="B68" s="221"/>
      <c r="C68" s="221"/>
      <c r="D68" s="15">
        <f>SUM(D63:D67)</f>
        <v>523.74819999999988</v>
      </c>
    </row>
    <row r="71" spans="1:5" x14ac:dyDescent="0.25">
      <c r="A71" s="225" t="s">
        <v>65</v>
      </c>
      <c r="B71" s="225"/>
      <c r="C71" s="225"/>
      <c r="D71" s="225"/>
    </row>
    <row r="73" spans="1:5" ht="12.75" customHeight="1" x14ac:dyDescent="0.25">
      <c r="A73" s="9">
        <v>2</v>
      </c>
      <c r="B73" s="226" t="s">
        <v>66</v>
      </c>
      <c r="C73" s="226"/>
      <c r="D73" s="9" t="s">
        <v>26</v>
      </c>
    </row>
    <row r="74" spans="1:5" ht="12.75" customHeight="1" x14ac:dyDescent="0.25">
      <c r="A74" s="8" t="s">
        <v>38</v>
      </c>
      <c r="B74" s="220" t="s">
        <v>39</v>
      </c>
      <c r="C74" s="220"/>
      <c r="D74" s="19">
        <f>D43</f>
        <v>235.61</v>
      </c>
    </row>
    <row r="75" spans="1:5" ht="12.75" customHeight="1" x14ac:dyDescent="0.25">
      <c r="A75" s="8" t="s">
        <v>43</v>
      </c>
      <c r="B75" s="220" t="s">
        <v>44</v>
      </c>
      <c r="C75" s="220"/>
      <c r="D75" s="19">
        <f>D57</f>
        <v>518.43000000000006</v>
      </c>
    </row>
    <row r="76" spans="1:5" ht="12.75" customHeight="1" x14ac:dyDescent="0.25">
      <c r="A76" s="8" t="s">
        <v>58</v>
      </c>
      <c r="B76" s="220" t="s">
        <v>59</v>
      </c>
      <c r="C76" s="220"/>
      <c r="D76" s="19">
        <f>D68</f>
        <v>523.74819999999988</v>
      </c>
    </row>
    <row r="77" spans="1:5" ht="12.75" customHeight="1" x14ac:dyDescent="0.25">
      <c r="A77" s="221" t="s">
        <v>35</v>
      </c>
      <c r="B77" s="221"/>
      <c r="C77" s="221"/>
      <c r="D77" s="15">
        <f>SUM(D74:D76)</f>
        <v>1277.7882</v>
      </c>
    </row>
    <row r="78" spans="1:5" x14ac:dyDescent="0.25">
      <c r="A78" s="20"/>
      <c r="E78" s="21"/>
    </row>
    <row r="80" spans="1:5" x14ac:dyDescent="0.25">
      <c r="A80" s="222" t="s">
        <v>67</v>
      </c>
      <c r="B80" s="222"/>
      <c r="C80" s="222"/>
      <c r="D80" s="222"/>
      <c r="E80" s="22"/>
    </row>
    <row r="81" spans="1:5" ht="12.75" customHeight="1" x14ac:dyDescent="0.25">
      <c r="E81" s="21"/>
    </row>
    <row r="82" spans="1:5" ht="12.75" customHeight="1" x14ac:dyDescent="0.25">
      <c r="A82" s="9">
        <v>3</v>
      </c>
      <c r="B82" s="226" t="s">
        <v>68</v>
      </c>
      <c r="C82" s="226"/>
      <c r="D82" s="9" t="s">
        <v>26</v>
      </c>
    </row>
    <row r="83" spans="1:5" x14ac:dyDescent="0.25">
      <c r="A83" s="8" t="s">
        <v>2</v>
      </c>
      <c r="B83" s="23" t="s">
        <v>69</v>
      </c>
      <c r="C83" s="16">
        <f>TRUNC(((1/12)*0%),4)</f>
        <v>0</v>
      </c>
      <c r="D83" s="11">
        <f>TRUNC($D$33*C83,2)</f>
        <v>0</v>
      </c>
    </row>
    <row r="84" spans="1:5" x14ac:dyDescent="0.25">
      <c r="A84" s="8" t="s">
        <v>4</v>
      </c>
      <c r="B84" s="23" t="s">
        <v>70</v>
      </c>
      <c r="C84" s="16">
        <v>0.08</v>
      </c>
      <c r="D84" s="11">
        <f>TRUNC(D83*C84,2)</f>
        <v>0</v>
      </c>
    </row>
    <row r="85" spans="1:5" x14ac:dyDescent="0.25">
      <c r="A85" s="8" t="s">
        <v>6</v>
      </c>
      <c r="B85" s="23" t="s">
        <v>71</v>
      </c>
      <c r="C85" s="161">
        <v>0.02</v>
      </c>
      <c r="D85" s="11">
        <f>TRUNC($D$33*C85,2)</f>
        <v>24.24</v>
      </c>
    </row>
    <row r="86" spans="1:5" x14ac:dyDescent="0.25">
      <c r="A86" s="8" t="s">
        <v>8</v>
      </c>
      <c r="B86" s="23" t="s">
        <v>72</v>
      </c>
      <c r="C86" s="161">
        <f>TRUNC(((7/30)/12)*0%,4)</f>
        <v>0</v>
      </c>
      <c r="D86" s="11">
        <f>TRUNC($D$33*C86,2)</f>
        <v>0</v>
      </c>
    </row>
    <row r="87" spans="1:5" x14ac:dyDescent="0.25">
      <c r="A87" s="8" t="s">
        <v>31</v>
      </c>
      <c r="B87" s="23" t="s">
        <v>73</v>
      </c>
      <c r="C87" s="161">
        <f>C57</f>
        <v>0.35814800000000002</v>
      </c>
      <c r="D87" s="11">
        <f>TRUNC(D86*C87,2)</f>
        <v>0</v>
      </c>
    </row>
    <row r="88" spans="1:5" x14ac:dyDescent="0.25">
      <c r="A88" s="8" t="s">
        <v>51</v>
      </c>
      <c r="B88" s="23" t="s">
        <v>74</v>
      </c>
      <c r="C88" s="161">
        <v>0.02</v>
      </c>
      <c r="D88" s="11">
        <f>TRUNC($D$33*C88,2)</f>
        <v>24.24</v>
      </c>
    </row>
    <row r="89" spans="1:5" ht="12.75" customHeight="1" x14ac:dyDescent="0.25">
      <c r="A89" s="221" t="s">
        <v>35</v>
      </c>
      <c r="B89" s="221"/>
      <c r="C89" s="221"/>
      <c r="D89" s="15">
        <f>SUM(D83:D88)</f>
        <v>48.48</v>
      </c>
    </row>
    <row r="92" spans="1:5" x14ac:dyDescent="0.25">
      <c r="A92" s="222" t="s">
        <v>75</v>
      </c>
      <c r="B92" s="222"/>
      <c r="C92" s="222"/>
      <c r="D92" s="222"/>
    </row>
    <row r="95" spans="1:5" x14ac:dyDescent="0.25">
      <c r="A95" s="225" t="s">
        <v>76</v>
      </c>
      <c r="B95" s="225"/>
      <c r="C95" s="225"/>
      <c r="D95" s="225"/>
    </row>
    <row r="96" spans="1:5" x14ac:dyDescent="0.25">
      <c r="A96" s="13"/>
    </row>
    <row r="97" spans="1:6" ht="12.75" customHeight="1" x14ac:dyDescent="0.25">
      <c r="A97" s="9" t="s">
        <v>77</v>
      </c>
      <c r="B97" s="226" t="s">
        <v>78</v>
      </c>
      <c r="C97" s="226"/>
      <c r="D97" s="9" t="s">
        <v>26</v>
      </c>
    </row>
    <row r="98" spans="1:6" x14ac:dyDescent="0.25">
      <c r="A98" s="8" t="s">
        <v>2</v>
      </c>
      <c r="B98" s="10" t="s">
        <v>79</v>
      </c>
      <c r="C98" s="16">
        <f>TRUNC(((1+1/3)/12)/12,4)*0</f>
        <v>0</v>
      </c>
      <c r="D98" s="11">
        <f t="shared" ref="D98:D103" si="1">TRUNC(($D$33+$D$77+$D$89)*C98,2)</f>
        <v>0</v>
      </c>
    </row>
    <row r="99" spans="1:6" x14ac:dyDescent="0.25">
      <c r="A99" s="8" t="s">
        <v>4</v>
      </c>
      <c r="B99" s="10" t="s">
        <v>80</v>
      </c>
      <c r="C99" s="16">
        <f>TRUNC(((2/30)/12),4)</f>
        <v>5.4999999999999997E-3</v>
      </c>
      <c r="D99" s="11">
        <f t="shared" si="1"/>
        <v>13.96</v>
      </c>
    </row>
    <row r="100" spans="1:6" x14ac:dyDescent="0.25">
      <c r="A100" s="8" t="s">
        <v>6</v>
      </c>
      <c r="B100" s="10" t="s">
        <v>81</v>
      </c>
      <c r="C100" s="16">
        <f>TRUNC(((5/30)/12)*2%,4)*0</f>
        <v>0</v>
      </c>
      <c r="D100" s="11">
        <f t="shared" si="1"/>
        <v>0</v>
      </c>
    </row>
    <row r="101" spans="1:6" x14ac:dyDescent="0.25">
      <c r="A101" s="8" t="s">
        <v>8</v>
      </c>
      <c r="B101" s="10" t="s">
        <v>82</v>
      </c>
      <c r="C101" s="16">
        <f>TRUNC(((15/30)/12)*8%,4)*0</f>
        <v>0</v>
      </c>
      <c r="D101" s="11">
        <f t="shared" si="1"/>
        <v>0</v>
      </c>
    </row>
    <row r="102" spans="1:6" x14ac:dyDescent="0.25">
      <c r="A102" s="8" t="s">
        <v>31</v>
      </c>
      <c r="B102" s="10" t="s">
        <v>83</v>
      </c>
      <c r="C102" s="16">
        <f>((1+1/3)/12)*3%*(4/12)*0</f>
        <v>0</v>
      </c>
      <c r="D102" s="11">
        <f t="shared" si="1"/>
        <v>0</v>
      </c>
    </row>
    <row r="103" spans="1:6" x14ac:dyDescent="0.25">
      <c r="A103" s="8" t="s">
        <v>51</v>
      </c>
      <c r="B103" s="10" t="s">
        <v>84</v>
      </c>
      <c r="C103" s="16"/>
      <c r="D103" s="11">
        <f t="shared" si="1"/>
        <v>0</v>
      </c>
    </row>
    <row r="104" spans="1:6" ht="12.75" customHeight="1" x14ac:dyDescent="0.25">
      <c r="A104" s="221" t="s">
        <v>56</v>
      </c>
      <c r="B104" s="221"/>
      <c r="C104" s="221"/>
      <c r="D104" s="15">
        <f>SUM(D98:D103)</f>
        <v>13.96</v>
      </c>
      <c r="E104" s="22"/>
      <c r="F104" s="22"/>
    </row>
    <row r="107" spans="1:6" x14ac:dyDescent="0.25">
      <c r="A107" s="225" t="s">
        <v>85</v>
      </c>
      <c r="B107" s="225"/>
      <c r="C107" s="225"/>
      <c r="D107" s="225"/>
    </row>
    <row r="108" spans="1:6" x14ac:dyDescent="0.25">
      <c r="A108" s="13"/>
    </row>
    <row r="109" spans="1:6" ht="12.75" customHeight="1" x14ac:dyDescent="0.25">
      <c r="A109" s="9" t="s">
        <v>86</v>
      </c>
      <c r="B109" s="226" t="s">
        <v>87</v>
      </c>
      <c r="C109" s="226"/>
      <c r="D109" s="9" t="s">
        <v>26</v>
      </c>
    </row>
    <row r="110" spans="1:6" ht="12.75" customHeight="1" x14ac:dyDescent="0.25">
      <c r="A110" s="8" t="s">
        <v>2</v>
      </c>
      <c r="B110" s="220" t="s">
        <v>88</v>
      </c>
      <c r="C110" s="220"/>
      <c r="D110" s="11">
        <f>((D33+D77+D89)/220)*22*0</f>
        <v>0</v>
      </c>
    </row>
    <row r="111" spans="1:6" ht="12.75" customHeight="1" x14ac:dyDescent="0.25">
      <c r="A111" s="221" t="s">
        <v>35</v>
      </c>
      <c r="B111" s="221"/>
      <c r="C111" s="221"/>
      <c r="D111" s="15">
        <f>SUM(D110)</f>
        <v>0</v>
      </c>
    </row>
    <row r="114" spans="1:5" x14ac:dyDescent="0.25">
      <c r="A114" s="225" t="s">
        <v>89</v>
      </c>
      <c r="B114" s="225"/>
      <c r="C114" s="225"/>
      <c r="D114" s="225"/>
    </row>
    <row r="115" spans="1:5" x14ac:dyDescent="0.25">
      <c r="A115" s="13"/>
    </row>
    <row r="116" spans="1:5" ht="12.75" customHeight="1" x14ac:dyDescent="0.25">
      <c r="A116" s="9">
        <v>4</v>
      </c>
      <c r="B116" s="221" t="s">
        <v>90</v>
      </c>
      <c r="C116" s="221"/>
      <c r="D116" s="9" t="s">
        <v>26</v>
      </c>
    </row>
    <row r="117" spans="1:5" ht="12.75" customHeight="1" x14ac:dyDescent="0.25">
      <c r="A117" s="8" t="s">
        <v>77</v>
      </c>
      <c r="B117" s="220" t="s">
        <v>78</v>
      </c>
      <c r="C117" s="220"/>
      <c r="D117" s="19">
        <f>D104</f>
        <v>13.96</v>
      </c>
    </row>
    <row r="118" spans="1:5" ht="12.75" customHeight="1" x14ac:dyDescent="0.25">
      <c r="A118" s="8" t="s">
        <v>86</v>
      </c>
      <c r="B118" s="220" t="s">
        <v>87</v>
      </c>
      <c r="C118" s="220"/>
      <c r="D118" s="19">
        <f>D111</f>
        <v>0</v>
      </c>
    </row>
    <row r="119" spans="1:5" ht="12.75" customHeight="1" x14ac:dyDescent="0.25">
      <c r="A119" s="221" t="s">
        <v>35</v>
      </c>
      <c r="B119" s="221"/>
      <c r="C119" s="221"/>
      <c r="D119" s="15">
        <f>SUM(D117:D118)</f>
        <v>13.96</v>
      </c>
    </row>
    <row r="122" spans="1:5" x14ac:dyDescent="0.25">
      <c r="A122" s="222" t="s">
        <v>91</v>
      </c>
      <c r="B122" s="222"/>
      <c r="C122" s="222"/>
      <c r="D122" s="222"/>
    </row>
    <row r="124" spans="1:5" ht="12.75" customHeight="1" x14ac:dyDescent="0.25">
      <c r="A124" s="9">
        <v>5</v>
      </c>
      <c r="B124" s="224" t="s">
        <v>92</v>
      </c>
      <c r="C124" s="224"/>
      <c r="D124" s="9" t="s">
        <v>26</v>
      </c>
    </row>
    <row r="125" spans="1:5" x14ac:dyDescent="0.25">
      <c r="A125" s="8" t="s">
        <v>2</v>
      </c>
      <c r="B125" s="10" t="s">
        <v>93</v>
      </c>
      <c r="C125" s="10"/>
      <c r="D125" s="11">
        <v>77.09</v>
      </c>
      <c r="E125" s="20"/>
    </row>
    <row r="126" spans="1:5" x14ac:dyDescent="0.25">
      <c r="A126" s="8" t="s">
        <v>4</v>
      </c>
      <c r="B126" s="10" t="s">
        <v>94</v>
      </c>
      <c r="C126" s="10"/>
      <c r="D126" s="11">
        <v>0</v>
      </c>
    </row>
    <row r="127" spans="1:5" x14ac:dyDescent="0.25">
      <c r="A127" s="8" t="s">
        <v>6</v>
      </c>
      <c r="B127" s="10" t="s">
        <v>95</v>
      </c>
      <c r="C127" s="10"/>
      <c r="D127" s="11"/>
    </row>
    <row r="128" spans="1:5" x14ac:dyDescent="0.25">
      <c r="A128" s="8" t="s">
        <v>8</v>
      </c>
      <c r="B128" s="10" t="s">
        <v>96</v>
      </c>
      <c r="C128" s="10"/>
      <c r="D128" s="11">
        <v>13.44</v>
      </c>
    </row>
    <row r="129" spans="1:4" ht="12.75" customHeight="1" x14ac:dyDescent="0.25">
      <c r="A129" s="221" t="s">
        <v>56</v>
      </c>
      <c r="B129" s="221"/>
      <c r="C129" s="221"/>
      <c r="D129" s="12">
        <f>SUM(D125:D128)</f>
        <v>90.53</v>
      </c>
    </row>
    <row r="132" spans="1:4" x14ac:dyDescent="0.25">
      <c r="A132" s="222" t="s">
        <v>97</v>
      </c>
      <c r="B132" s="222"/>
      <c r="C132" s="222"/>
      <c r="D132" s="222"/>
    </row>
    <row r="134" spans="1:4" x14ac:dyDescent="0.25">
      <c r="A134" s="9">
        <v>6</v>
      </c>
      <c r="B134" s="24" t="s">
        <v>98</v>
      </c>
      <c r="C134" s="9" t="s">
        <v>45</v>
      </c>
      <c r="D134" s="9" t="s">
        <v>26</v>
      </c>
    </row>
    <row r="135" spans="1:4" x14ac:dyDescent="0.25">
      <c r="A135" s="8" t="s">
        <v>2</v>
      </c>
      <c r="B135" s="10" t="s">
        <v>99</v>
      </c>
      <c r="C135" s="160">
        <v>0.01</v>
      </c>
      <c r="D135" s="19">
        <f>D155*C135</f>
        <v>26.427882</v>
      </c>
    </row>
    <row r="136" spans="1:4" x14ac:dyDescent="0.25">
      <c r="A136" s="8" t="s">
        <v>4</v>
      </c>
      <c r="B136" s="10" t="s">
        <v>100</v>
      </c>
      <c r="C136" s="160">
        <v>6.4000000000000003E-3</v>
      </c>
      <c r="D136" s="11">
        <f>(D155+D135)*C136</f>
        <v>17.0829829248</v>
      </c>
    </row>
    <row r="137" spans="1:4" x14ac:dyDescent="0.25">
      <c r="A137" s="8" t="s">
        <v>6</v>
      </c>
      <c r="B137" s="10" t="s">
        <v>101</v>
      </c>
      <c r="C137" s="162">
        <f>SUM(C138:C143)</f>
        <v>7.22E-2</v>
      </c>
      <c r="D137" s="11">
        <f>(D155+D135+D136)*C137/(1-C137)</f>
        <v>209.04375133387646</v>
      </c>
    </row>
    <row r="138" spans="1:4" x14ac:dyDescent="0.25">
      <c r="A138" s="8"/>
      <c r="B138" s="10" t="s">
        <v>102</v>
      </c>
      <c r="C138" s="160"/>
      <c r="D138" s="19">
        <f t="shared" ref="D138:D143" si="2">$D$157*C138</f>
        <v>0</v>
      </c>
    </row>
    <row r="139" spans="1:4" x14ac:dyDescent="0.25">
      <c r="A139" s="8"/>
      <c r="B139" s="10" t="s">
        <v>103</v>
      </c>
      <c r="C139" s="160">
        <v>4.0000000000000001E-3</v>
      </c>
      <c r="D139" s="19">
        <f t="shared" si="2"/>
        <v>11.58136</v>
      </c>
    </row>
    <row r="140" spans="1:4" x14ac:dyDescent="0.25">
      <c r="A140" s="8"/>
      <c r="B140" s="10" t="s">
        <v>104</v>
      </c>
      <c r="C140" s="160">
        <v>1.8200000000000001E-2</v>
      </c>
      <c r="D140" s="19">
        <f t="shared" si="2"/>
        <v>52.695188000000009</v>
      </c>
    </row>
    <row r="141" spans="1:4" x14ac:dyDescent="0.25">
      <c r="A141" s="8"/>
      <c r="B141" s="10" t="s">
        <v>105</v>
      </c>
      <c r="C141" s="8"/>
      <c r="D141" s="19">
        <f t="shared" si="2"/>
        <v>0</v>
      </c>
    </row>
    <row r="142" spans="1:4" x14ac:dyDescent="0.25">
      <c r="A142" s="8"/>
      <c r="B142" s="10" t="s">
        <v>106</v>
      </c>
      <c r="C142" s="16"/>
      <c r="D142" s="19">
        <f t="shared" si="2"/>
        <v>0</v>
      </c>
    </row>
    <row r="143" spans="1:4" x14ac:dyDescent="0.25">
      <c r="A143" s="8"/>
      <c r="B143" s="10" t="s">
        <v>107</v>
      </c>
      <c r="C143" s="16">
        <v>0.05</v>
      </c>
      <c r="D143" s="19">
        <f t="shared" si="2"/>
        <v>144.76700000000002</v>
      </c>
    </row>
    <row r="144" spans="1:4" ht="13.5" customHeight="1" x14ac:dyDescent="0.25">
      <c r="A144" s="223" t="s">
        <v>56</v>
      </c>
      <c r="B144" s="223"/>
      <c r="C144" s="25">
        <f>(1+C136)*(1+C135)/(1-C137)-1</f>
        <v>9.5563699073076158E-2</v>
      </c>
      <c r="D144" s="15">
        <f>SUM(D135:D137)</f>
        <v>252.55461625867645</v>
      </c>
    </row>
    <row r="147" spans="1:4" x14ac:dyDescent="0.25">
      <c r="A147" s="222" t="s">
        <v>108</v>
      </c>
      <c r="B147" s="222"/>
      <c r="C147" s="222"/>
      <c r="D147" s="222"/>
    </row>
    <row r="149" spans="1:4" ht="12.75" customHeight="1" x14ac:dyDescent="0.25">
      <c r="A149" s="9"/>
      <c r="B149" s="221" t="s">
        <v>109</v>
      </c>
      <c r="C149" s="221"/>
      <c r="D149" s="9" t="s">
        <v>26</v>
      </c>
    </row>
    <row r="150" spans="1:4" ht="12.75" customHeight="1" x14ac:dyDescent="0.25">
      <c r="A150" s="9" t="s">
        <v>2</v>
      </c>
      <c r="B150" s="220" t="s">
        <v>24</v>
      </c>
      <c r="C150" s="220"/>
      <c r="D150" s="26">
        <f>D33</f>
        <v>1212.03</v>
      </c>
    </row>
    <row r="151" spans="1:4" ht="12.75" customHeight="1" x14ac:dyDescent="0.25">
      <c r="A151" s="9" t="s">
        <v>4</v>
      </c>
      <c r="B151" s="220" t="s">
        <v>36</v>
      </c>
      <c r="C151" s="220"/>
      <c r="D151" s="26">
        <f>D77</f>
        <v>1277.7882</v>
      </c>
    </row>
    <row r="152" spans="1:4" ht="12.75" customHeight="1" x14ac:dyDescent="0.25">
      <c r="A152" s="9" t="s">
        <v>6</v>
      </c>
      <c r="B152" s="220" t="s">
        <v>67</v>
      </c>
      <c r="C152" s="220"/>
      <c r="D152" s="26">
        <f>D89</f>
        <v>48.48</v>
      </c>
    </row>
    <row r="153" spans="1:4" ht="12.75" customHeight="1" x14ac:dyDescent="0.25">
      <c r="A153" s="9" t="s">
        <v>8</v>
      </c>
      <c r="B153" s="220" t="s">
        <v>75</v>
      </c>
      <c r="C153" s="220"/>
      <c r="D153" s="26">
        <f>D119</f>
        <v>13.96</v>
      </c>
    </row>
    <row r="154" spans="1:4" ht="12.75" customHeight="1" x14ac:dyDescent="0.25">
      <c r="A154" s="9" t="s">
        <v>31</v>
      </c>
      <c r="B154" s="220" t="s">
        <v>91</v>
      </c>
      <c r="C154" s="220"/>
      <c r="D154" s="26">
        <f>D129</f>
        <v>90.53</v>
      </c>
    </row>
    <row r="155" spans="1:4" ht="12.75" customHeight="1" x14ac:dyDescent="0.25">
      <c r="A155" s="221" t="s">
        <v>110</v>
      </c>
      <c r="B155" s="221"/>
      <c r="C155" s="221"/>
      <c r="D155" s="27">
        <f>SUM(D150:D154)</f>
        <v>2642.7882</v>
      </c>
    </row>
    <row r="156" spans="1:4" ht="12.75" customHeight="1" x14ac:dyDescent="0.25">
      <c r="A156" s="9" t="s">
        <v>51</v>
      </c>
      <c r="B156" s="220" t="s">
        <v>111</v>
      </c>
      <c r="C156" s="220"/>
      <c r="D156" s="28">
        <f>D144</f>
        <v>252.55461625867645</v>
      </c>
    </row>
    <row r="157" spans="1:4" ht="12.75" customHeight="1" x14ac:dyDescent="0.25">
      <c r="A157" s="221" t="s">
        <v>112</v>
      </c>
      <c r="B157" s="221"/>
      <c r="C157" s="221"/>
      <c r="D157" s="27">
        <f>TRUNC(SUM(D155:D156),2)</f>
        <v>2895.34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0" firstPageNumber="0" fitToHeight="0" orientation="portrait" horizontalDpi="300" verticalDpi="300" r:id="rId1"/>
  <rowBreaks count="2" manualBreakCount="2">
    <brk id="59" max="16383" man="1"/>
    <brk id="1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sqref="A1:E1"/>
    </sheetView>
  </sheetViews>
  <sheetFormatPr defaultColWidth="9.140625" defaultRowHeight="15" x14ac:dyDescent="0.25"/>
  <cols>
    <col min="1" max="1" width="14.7109375" style="29" customWidth="1"/>
    <col min="2" max="2" width="32.7109375" style="30" customWidth="1"/>
    <col min="3" max="4" width="12.7109375" style="30" customWidth="1"/>
    <col min="5" max="5" width="14.5703125" style="30" customWidth="1"/>
    <col min="6" max="1024" width="9.140625" style="30"/>
  </cols>
  <sheetData>
    <row r="1" spans="1:5" ht="16.5" x14ac:dyDescent="0.25">
      <c r="A1" s="242" t="s">
        <v>119</v>
      </c>
      <c r="B1" s="242"/>
      <c r="C1" s="242"/>
      <c r="D1" s="242"/>
      <c r="E1" s="242"/>
    </row>
    <row r="3" spans="1:5" x14ac:dyDescent="0.25">
      <c r="A3" s="243" t="s">
        <v>18</v>
      </c>
      <c r="B3" s="243"/>
      <c r="C3" s="243"/>
      <c r="D3" s="243"/>
      <c r="E3" s="243"/>
    </row>
    <row r="4" spans="1:5" x14ac:dyDescent="0.25">
      <c r="A4" s="31" t="s">
        <v>2</v>
      </c>
      <c r="B4" s="237" t="s">
        <v>120</v>
      </c>
      <c r="C4" s="237"/>
      <c r="D4" s="237"/>
      <c r="E4" s="33">
        <f>serv!D33</f>
        <v>1212.03</v>
      </c>
    </row>
    <row r="5" spans="1:5" x14ac:dyDescent="0.25">
      <c r="A5" s="31" t="s">
        <v>4</v>
      </c>
      <c r="B5" s="237" t="s">
        <v>121</v>
      </c>
      <c r="C5" s="237"/>
      <c r="D5" s="34">
        <f>serv!C57</f>
        <v>0.35810000000000003</v>
      </c>
      <c r="E5" s="33">
        <f>E4*D5</f>
        <v>434.02794300000005</v>
      </c>
    </row>
    <row r="6" spans="1:5" x14ac:dyDescent="0.25">
      <c r="A6" s="31" t="s">
        <v>6</v>
      </c>
      <c r="B6" s="237" t="s">
        <v>99</v>
      </c>
      <c r="C6" s="237"/>
      <c r="D6" s="34">
        <f>serv!C135</f>
        <v>0.01</v>
      </c>
      <c r="E6" s="33">
        <f>TRUNC((E4+E5)*D6,2)</f>
        <v>16.46</v>
      </c>
    </row>
    <row r="7" spans="1:5" x14ac:dyDescent="0.25">
      <c r="A7" s="31" t="s">
        <v>8</v>
      </c>
      <c r="B7" s="237" t="s">
        <v>100</v>
      </c>
      <c r="C7" s="237"/>
      <c r="D7" s="34">
        <f>serv!C136</f>
        <v>6.4000000000000003E-3</v>
      </c>
      <c r="E7" s="33">
        <f>TRUNC((E4+E5+E6)*D7,2)</f>
        <v>10.64</v>
      </c>
    </row>
    <row r="8" spans="1:5" x14ac:dyDescent="0.25">
      <c r="A8" s="31" t="s">
        <v>31</v>
      </c>
      <c r="B8" s="237" t="s">
        <v>101</v>
      </c>
      <c r="C8" s="237"/>
      <c r="D8" s="34">
        <f>serv!C137</f>
        <v>7.22E-2</v>
      </c>
      <c r="E8" s="33">
        <f>TRUNC((E4+E5+E6+E7)*D8/(1-D8),2)</f>
        <v>130.19999999999999</v>
      </c>
    </row>
    <row r="9" spans="1:5" x14ac:dyDescent="0.25">
      <c r="A9" s="238" t="s">
        <v>122</v>
      </c>
      <c r="B9" s="238"/>
      <c r="C9" s="238"/>
      <c r="D9" s="238"/>
      <c r="E9" s="33">
        <f>SUM(E4:E8)</f>
        <v>1803.3579430000002</v>
      </c>
    </row>
    <row r="10" spans="1:5" x14ac:dyDescent="0.25">
      <c r="A10" s="31" t="s">
        <v>51</v>
      </c>
      <c r="B10" s="237" t="s">
        <v>123</v>
      </c>
      <c r="C10" s="237"/>
      <c r="D10" s="237"/>
      <c r="E10" s="33">
        <f>TRUNC(E9/220,2)</f>
        <v>8.19</v>
      </c>
    </row>
    <row r="11" spans="1:5" x14ac:dyDescent="0.25">
      <c r="A11" s="31" t="s">
        <v>33</v>
      </c>
      <c r="B11" s="237" t="s">
        <v>124</v>
      </c>
      <c r="C11" s="237"/>
      <c r="D11" s="34">
        <v>0.5</v>
      </c>
      <c r="E11" s="33">
        <f>TRUNC(E10*(1+D11),2)</f>
        <v>12.28</v>
      </c>
    </row>
    <row r="12" spans="1:5" x14ac:dyDescent="0.25">
      <c r="A12" s="31" t="s">
        <v>54</v>
      </c>
      <c r="B12" s="237" t="s">
        <v>124</v>
      </c>
      <c r="C12" s="237"/>
      <c r="D12" s="34">
        <v>1</v>
      </c>
      <c r="E12" s="33">
        <f>TRUNC(E10*(1+D12),2)</f>
        <v>16.38</v>
      </c>
    </row>
    <row r="13" spans="1:5" x14ac:dyDescent="0.25">
      <c r="A13" s="241"/>
      <c r="B13" s="241"/>
      <c r="C13" s="241"/>
      <c r="D13" s="31" t="s">
        <v>125</v>
      </c>
      <c r="E13" s="31" t="s">
        <v>126</v>
      </c>
    </row>
    <row r="14" spans="1:5" x14ac:dyDescent="0.25">
      <c r="A14" s="31" t="s">
        <v>127</v>
      </c>
      <c r="B14" s="237" t="s">
        <v>128</v>
      </c>
      <c r="C14" s="237"/>
      <c r="D14" s="31">
        <v>0</v>
      </c>
      <c r="E14" s="33">
        <f>D14*E11</f>
        <v>0</v>
      </c>
    </row>
    <row r="15" spans="1:5" x14ac:dyDescent="0.25">
      <c r="A15" s="31" t="s">
        <v>129</v>
      </c>
      <c r="B15" s="237" t="s">
        <v>130</v>
      </c>
      <c r="C15" s="237"/>
      <c r="D15" s="31">
        <v>32</v>
      </c>
      <c r="E15" s="33">
        <f>D15*E11</f>
        <v>392.96</v>
      </c>
    </row>
    <row r="16" spans="1:5" x14ac:dyDescent="0.25">
      <c r="A16" s="31" t="s">
        <v>131</v>
      </c>
      <c r="B16" s="237" t="s">
        <v>132</v>
      </c>
      <c r="C16" s="237"/>
      <c r="D16" s="31">
        <v>64</v>
      </c>
      <c r="E16" s="33">
        <f>D16*E12</f>
        <v>1048.32</v>
      </c>
    </row>
    <row r="17" spans="1:6" x14ac:dyDescent="0.25">
      <c r="A17" s="236" t="s">
        <v>133</v>
      </c>
      <c r="B17" s="236"/>
      <c r="C17" s="236"/>
      <c r="D17" s="236"/>
      <c r="E17" s="35">
        <f>SUM(E14:E16)</f>
        <v>1441.28</v>
      </c>
      <c r="F17" s="80"/>
    </row>
    <row r="18" spans="1:6" x14ac:dyDescent="0.25">
      <c r="A18" s="238" t="s">
        <v>134</v>
      </c>
      <c r="B18" s="238"/>
      <c r="C18" s="238"/>
      <c r="D18" s="238"/>
      <c r="E18" s="31">
        <v>52</v>
      </c>
      <c r="F18" s="80"/>
    </row>
    <row r="19" spans="1:6" x14ac:dyDescent="0.25">
      <c r="A19" s="236" t="s">
        <v>135</v>
      </c>
      <c r="B19" s="236"/>
      <c r="C19" s="236"/>
      <c r="D19" s="236"/>
      <c r="E19" s="35">
        <f>E17*E18</f>
        <v>74946.559999999998</v>
      </c>
      <c r="F19" s="80"/>
    </row>
    <row r="20" spans="1:6" x14ac:dyDescent="0.25">
      <c r="A20" s="240" t="s">
        <v>136</v>
      </c>
      <c r="B20" s="240"/>
      <c r="C20" s="240"/>
      <c r="D20" s="31" t="s">
        <v>130</v>
      </c>
      <c r="E20" s="31" t="s">
        <v>137</v>
      </c>
    </row>
    <row r="21" spans="1:6" x14ac:dyDescent="0.25">
      <c r="A21" s="238" t="s">
        <v>138</v>
      </c>
      <c r="B21" s="238"/>
      <c r="C21" s="238"/>
      <c r="D21" s="31">
        <v>8</v>
      </c>
      <c r="E21" s="31">
        <v>8</v>
      </c>
    </row>
    <row r="22" spans="1:6" x14ac:dyDescent="0.25">
      <c r="A22" s="31" t="s">
        <v>139</v>
      </c>
      <c r="B22" s="237" t="s">
        <v>140</v>
      </c>
      <c r="C22" s="237"/>
      <c r="D22" s="33">
        <v>0</v>
      </c>
      <c r="E22" s="33">
        <v>8.8000000000000007</v>
      </c>
    </row>
    <row r="23" spans="1:6" x14ac:dyDescent="0.25">
      <c r="A23" s="31" t="s">
        <v>141</v>
      </c>
      <c r="B23" s="237" t="s">
        <v>142</v>
      </c>
      <c r="C23" s="237"/>
      <c r="D23" s="142">
        <f>13.1*0.8</f>
        <v>10.48</v>
      </c>
      <c r="E23" s="33">
        <f>13.1*0.8</f>
        <v>10.48</v>
      </c>
    </row>
    <row r="24" spans="1:6" x14ac:dyDescent="0.25">
      <c r="A24" s="238" t="s">
        <v>143</v>
      </c>
      <c r="B24" s="238"/>
      <c r="C24" s="238"/>
      <c r="D24" s="33">
        <f>SUM(D22:D23)*$E$18*D21</f>
        <v>4359.68</v>
      </c>
      <c r="E24" s="33">
        <f>SUM(E22:E23)*$E$18*E21</f>
        <v>8020.4800000000005</v>
      </c>
    </row>
    <row r="25" spans="1:6" x14ac:dyDescent="0.25">
      <c r="A25" s="31" t="s">
        <v>144</v>
      </c>
      <c r="B25" s="32" t="s">
        <v>99</v>
      </c>
      <c r="C25" s="34">
        <f>D6</f>
        <v>0.01</v>
      </c>
      <c r="D25" s="33">
        <f>TRUNC((D24)*$C$25,2)</f>
        <v>43.59</v>
      </c>
      <c r="E25" s="33">
        <f>TRUNC((E24)*$C$25,2)</f>
        <v>80.2</v>
      </c>
    </row>
    <row r="26" spans="1:6" x14ac:dyDescent="0.25">
      <c r="A26" s="31" t="s">
        <v>145</v>
      </c>
      <c r="B26" s="32" t="s">
        <v>100</v>
      </c>
      <c r="C26" s="34">
        <f>D7</f>
        <v>6.4000000000000003E-3</v>
      </c>
      <c r="D26" s="33">
        <f>TRUNC((D24+D25)*$C$26,2)</f>
        <v>28.18</v>
      </c>
      <c r="E26" s="33">
        <f>TRUNC((E24+E25)*$C$26,2)</f>
        <v>51.84</v>
      </c>
    </row>
    <row r="27" spans="1:6" x14ac:dyDescent="0.25">
      <c r="A27" s="31" t="s">
        <v>146</v>
      </c>
      <c r="B27" s="32" t="s">
        <v>101</v>
      </c>
      <c r="C27" s="34">
        <f>D8</f>
        <v>7.22E-2</v>
      </c>
      <c r="D27" s="33">
        <f>TRUNC((D24+D25+D26)*$C$27/(1-$C$27),2)</f>
        <v>344.84</v>
      </c>
      <c r="E27" s="33">
        <f>TRUNC((E24+E25+E26)*$C$27/(1-$C$27),2)</f>
        <v>634.41</v>
      </c>
    </row>
    <row r="28" spans="1:6" x14ac:dyDescent="0.25">
      <c r="A28" s="239" t="s">
        <v>147</v>
      </c>
      <c r="B28" s="239"/>
      <c r="C28" s="239"/>
      <c r="D28" s="33">
        <f>SUM(D24:D27)</f>
        <v>4776.2900000000009</v>
      </c>
      <c r="E28" s="33">
        <f>SUM(E24:E27)</f>
        <v>8786.93</v>
      </c>
    </row>
    <row r="29" spans="1:6" x14ac:dyDescent="0.25">
      <c r="A29" s="236" t="s">
        <v>148</v>
      </c>
      <c r="B29" s="236"/>
      <c r="C29" s="236"/>
      <c r="D29" s="236"/>
      <c r="E29" s="35">
        <f>SUM(D28:E28)</f>
        <v>13563.220000000001</v>
      </c>
      <c r="F29" s="80"/>
    </row>
    <row r="30" spans="1:6" x14ac:dyDescent="0.25">
      <c r="A30" s="236" t="s">
        <v>149</v>
      </c>
      <c r="B30" s="236"/>
      <c r="C30" s="236"/>
      <c r="D30" s="236"/>
      <c r="E30" s="35">
        <f>E19+E29</f>
        <v>88509.78</v>
      </c>
      <c r="F30" s="80"/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44</vt:i4>
      </vt:variant>
    </vt:vector>
  </HeadingPairs>
  <TitlesOfParts>
    <vt:vector size="65" baseType="lpstr">
      <vt:lpstr>PROPOSTA</vt:lpstr>
      <vt:lpstr>Total</vt:lpstr>
      <vt:lpstr>serv</vt:lpstr>
      <vt:lpstr>jard</vt:lpstr>
      <vt:lpstr>auxjard</vt:lpstr>
      <vt:lpstr>superv</vt:lpstr>
      <vt:lpstr>cabturm</vt:lpstr>
      <vt:lpstr>servextra</vt:lpstr>
      <vt:lpstr>heserv_agoset</vt:lpstr>
      <vt:lpstr>hesuperv_agoset</vt:lpstr>
      <vt:lpstr>hecabturm_agoset</vt:lpstr>
      <vt:lpstr>heserv_out</vt:lpstr>
      <vt:lpstr>hesuperv_out</vt:lpstr>
      <vt:lpstr>hecabturm_out</vt:lpstr>
      <vt:lpstr>matservente1</vt:lpstr>
      <vt:lpstr>matjard1</vt:lpstr>
      <vt:lpstr>matservente2</vt:lpstr>
      <vt:lpstr>matjard2</vt:lpstr>
      <vt:lpstr>unif e EPI</vt:lpstr>
      <vt:lpstr>equip serv</vt:lpstr>
      <vt:lpstr>equip jard</vt:lpstr>
      <vt:lpstr>auxjard!Area_de_impressao</vt:lpstr>
      <vt:lpstr>cabturm!Area_de_impressao</vt:lpstr>
      <vt:lpstr>'equip jard'!Area_de_impressao</vt:lpstr>
      <vt:lpstr>'equip serv'!Area_de_impressao</vt:lpstr>
      <vt:lpstr>hecabturm_agoset!Area_de_impressao</vt:lpstr>
      <vt:lpstr>hecabturm_out!Area_de_impressao</vt:lpstr>
      <vt:lpstr>heserv_agoset!Area_de_impressao</vt:lpstr>
      <vt:lpstr>heserv_out!Area_de_impressao</vt:lpstr>
      <vt:lpstr>hesuperv_agoset!Area_de_impressao</vt:lpstr>
      <vt:lpstr>hesuperv_out!Area_de_impressao</vt:lpstr>
      <vt:lpstr>jard!Area_de_impressao</vt:lpstr>
      <vt:lpstr>matjard1!Area_de_impressao</vt:lpstr>
      <vt:lpstr>matjard2!Area_de_impressao</vt:lpstr>
      <vt:lpstr>matservente1!Area_de_impressao</vt:lpstr>
      <vt:lpstr>matservente2!Area_de_impressao</vt:lpstr>
      <vt:lpstr>PROPOSTA!Area_de_impressao</vt:lpstr>
      <vt:lpstr>serv!Area_de_impressao</vt:lpstr>
      <vt:lpstr>servextra!Area_de_impressao</vt:lpstr>
      <vt:lpstr>superv!Area_de_impressao</vt:lpstr>
      <vt:lpstr>Total!Area_de_impressao</vt:lpstr>
      <vt:lpstr>'unif e EPI'!Area_de_impressao</vt:lpstr>
      <vt:lpstr>'equip jard'!Print_Area_0</vt:lpstr>
      <vt:lpstr>'equip serv'!Print_Area_0</vt:lpstr>
      <vt:lpstr>matjard1!Print_Area_0</vt:lpstr>
      <vt:lpstr>matjard2!Print_Area_0</vt:lpstr>
      <vt:lpstr>matservente1!Print_Area_0</vt:lpstr>
      <vt:lpstr>matservente2!Print_Area_0</vt:lpstr>
      <vt:lpstr>'unif e EPI'!Print_Area_0</vt:lpstr>
      <vt:lpstr>'equip jard'!Print_Area_0_0</vt:lpstr>
      <vt:lpstr>'equip serv'!Print_Area_0_0</vt:lpstr>
      <vt:lpstr>matjard1!Print_Area_0_0</vt:lpstr>
      <vt:lpstr>matjard2!Print_Area_0_0</vt:lpstr>
      <vt:lpstr>matservente1!Print_Area_0_0</vt:lpstr>
      <vt:lpstr>matservente2!Print_Area_0_0</vt:lpstr>
      <vt:lpstr>'unif e EPI'!Print_Area_0_0</vt:lpstr>
      <vt:lpstr>hecabturm_agoset!Titulos_de_impressao</vt:lpstr>
      <vt:lpstr>hecabturm_out!Titulos_de_impressao</vt:lpstr>
      <vt:lpstr>heserv_agoset!Titulos_de_impressao</vt:lpstr>
      <vt:lpstr>heserv_out!Titulos_de_impressao</vt:lpstr>
      <vt:lpstr>hesuperv_agoset!Titulos_de_impressao</vt:lpstr>
      <vt:lpstr>hesuperv_out!Titulos_de_impressao</vt:lpstr>
      <vt:lpstr>matjard1!Titulos_de_impressao</vt:lpstr>
      <vt:lpstr>matservente1!Titulos_de_impressao</vt:lpstr>
      <vt:lpstr>matservente2!Titulos_de_impressao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Grace Lane Gama Bulcão</cp:lastModifiedBy>
  <cp:revision>28</cp:revision>
  <cp:lastPrinted>2022-07-07T17:03:19Z</cp:lastPrinted>
  <dcterms:created xsi:type="dcterms:W3CDTF">2019-01-29T18:54:26Z</dcterms:created>
  <dcterms:modified xsi:type="dcterms:W3CDTF">2022-08-09T20:17:52Z</dcterms:modified>
  <dc:language>pt-BR</dc:language>
</cp:coreProperties>
</file>